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35" activeTab="1"/>
  </bookViews>
  <sheets>
    <sheet name="VENITURI" sheetId="1" r:id="rId1"/>
    <sheet name="CHELTUIELI" sheetId="2" r:id="rId2"/>
  </sheets>
  <definedNames>
    <definedName name="_xlnm.Database">"#REF!"</definedName>
    <definedName name="_xlnm.Print_Area" localSheetId="0">#N/A</definedName>
  </definedNames>
  <calcPr fullCalcOnLoad="1"/>
</workbook>
</file>

<file path=xl/sharedStrings.xml><?xml version="1.0" encoding="utf-8"?>
<sst xmlns="http://schemas.openxmlformats.org/spreadsheetml/2006/main" count="494" uniqueCount="436">
  <si>
    <t>CASA DE ASIGURARI DE SANATATE SALAJ</t>
  </si>
  <si>
    <t>CONT DE EXECUTIE VENITURI DECEMBRIE 2019</t>
  </si>
  <si>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</si>
  <si>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</si>
  <si>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</si>
  <si>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</si>
  <si>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</si>
  <si>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</si>
  <si>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</si>
  <si>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</si>
  <si>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</si>
  <si>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</si>
  <si>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</si>
  <si>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</si>
  <si>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</si>
  <si>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</si>
  <si>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</si>
  <si>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</si>
  <si>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</si>
  <si>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</si>
  <si>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</si>
  <si>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</si>
  <si>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</si>
  <si>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</si>
  <si>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</si>
  <si>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</si>
  <si>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</si>
  <si>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</si>
  <si>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</si>
  <si>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</si>
  <si>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</si>
  <si>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</si>
  <si>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</si>
  <si>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</si>
  <si>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</si>
  <si>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</si>
  <si>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</si>
  <si>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</si>
  <si>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</si>
  <si>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</si>
  <si>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</si>
  <si>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</si>
  <si>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</si>
  <si>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</si>
  <si>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</si>
  <si>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</si>
  <si>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</si>
  <si>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</si>
  <si>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</si>
  <si>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</si>
  <si>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</si>
  <si>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</si>
  <si>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</si>
  <si>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</si>
  <si>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</si>
  <si>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</si>
  <si>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</si>
  <si>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</si>
  <si>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</si>
  <si>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</si>
  <si>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</si>
  <si>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</si>
  <si>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</si>
  <si>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</si>
  <si>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</si>
  <si>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</si>
  <si>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</si>
  <si>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</si>
  <si>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</si>
  <si>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</si>
  <si>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</si>
  <si>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</si>
  <si>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</si>
  <si>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</si>
  <si>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</si>
  <si>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</si>
  <si>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</si>
  <si>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</si>
  <si>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</si>
  <si>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</si>
  <si>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</si>
  <si>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</si>
  <si>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</si>
  <si>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</si>
  <si>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</si>
  <si>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</si>
  <si>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</si>
  <si>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</si>
  <si>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</si>
  <si>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</si>
  <si>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</si>
  <si>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</si>
  <si>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</si>
  <si>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</si>
  <si>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</si>
  <si>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</si>
  <si>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</si>
  <si>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</si>
  <si>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</si>
  <si>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</si>
  <si>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</si>
  <si>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</si>
  <si>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</si>
  <si>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</si>
  <si>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</si>
  <si>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</si>
  <si>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</si>
  <si>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</si>
  <si>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</si>
  <si>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</si>
  <si>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</si>
  <si>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</si>
  <si>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</si>
  <si>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</si>
  <si>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</si>
  <si>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</si>
  <si>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</si>
  <si>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</si>
  <si>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</si>
  <si>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</si>
  <si>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</si>
  <si>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</si>
  <si>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</si>
  <si>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</si>
  <si>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</si>
  <si>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</si>
  <si>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</si>
  <si>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</si>
  <si>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</si>
  <si>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</si>
  <si>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</si>
  <si>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</si>
  <si>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</si>
  <si>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</si>
  <si>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</si>
  <si>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</si>
  <si>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</si>
  <si>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</si>
  <si>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</si>
  <si>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</si>
  <si>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</si>
  <si>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</si>
  <si>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</si>
  <si>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</si>
  <si>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</si>
  <si>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</si>
  <si>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</si>
  <si>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</si>
  <si>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</si>
  <si>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</si>
  <si>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</si>
  <si>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</si>
  <si>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</si>
  <si>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</si>
  <si>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</si>
  <si>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</si>
  <si>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</si>
  <si>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</si>
  <si>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</si>
  <si>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</si>
  <si>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</si>
  <si>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</si>
  <si>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</si>
  <si>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</si>
  <si>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</si>
  <si>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</si>
  <si>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</si>
  <si>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</si>
  <si>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</si>
  <si>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</si>
  <si>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</si>
  <si>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</si>
  <si>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</si>
  <si>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</si>
  <si>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</si>
  <si>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</si>
  <si>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</si>
  <si>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</si>
  <si>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Presedinte Director - General</t>
  </si>
  <si>
    <t>Sef   Serviciu B F C</t>
  </si>
  <si>
    <t xml:space="preserve">                   Olga Stana</t>
  </si>
  <si>
    <t xml:space="preserve">   Neviana Pop</t>
  </si>
  <si>
    <t>CONT DE EXECUTIE CHELTUIELI DECEMBRIEE 2019</t>
  </si>
  <si>
    <t>lei</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</si>
  <si>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</si>
  <si>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</si>
  <si>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</si>
  <si>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</si>
  <si>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</si>
  <si>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</si>
  <si>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</si>
  <si>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</si>
  <si>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</si>
  <si>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</si>
  <si>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</si>
  <si>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</si>
  <si>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</si>
  <si>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</si>
  <si>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</si>
  <si>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</si>
  <si>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</si>
  <si>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</si>
  <si>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</si>
  <si>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</si>
  <si>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</si>
  <si>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</si>
  <si>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</si>
  <si>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</si>
  <si>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</si>
  <si>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</si>
  <si>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</si>
  <si>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</si>
  <si>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</si>
  <si>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</si>
  <si>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</si>
  <si>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</si>
  <si>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</si>
  <si>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</si>
  <si>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</si>
  <si>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</si>
  <si>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</si>
  <si>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</si>
  <si>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</si>
  <si>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</si>
  <si>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</si>
  <si>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</si>
  <si>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</si>
  <si>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</si>
  <si>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</si>
  <si>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Indemnizatii de hrana</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</si>
  <si>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</si>
  <si>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</si>
  <si>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</si>
  <si>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</si>
  <si>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</si>
  <si>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</si>
  <si>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</si>
  <si>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</si>
  <si>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</si>
  <si>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</si>
  <si>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</si>
  <si>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</si>
  <si>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</si>
  <si>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</si>
  <si>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</si>
  <si>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</si>
  <si>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</si>
  <si>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</si>
  <si>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</si>
  <si>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</si>
  <si>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</si>
  <si>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</si>
  <si>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</si>
  <si>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</si>
  <si>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</si>
  <si>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</si>
  <si>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</si>
  <si>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</si>
  <si>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</si>
  <si>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</si>
  <si>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</si>
  <si>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</si>
  <si>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</si>
  <si>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</si>
  <si>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</si>
  <si>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</si>
  <si>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</si>
  <si>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</si>
  <si>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</si>
  <si>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</si>
  <si>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</si>
  <si>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</si>
  <si>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</si>
  <si>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</si>
  <si>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</si>
  <si>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</si>
  <si>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</si>
  <si>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</si>
  <si>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</si>
  <si>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</si>
  <si>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</si>
  <si>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</si>
  <si>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</si>
  <si>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</si>
  <si>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</si>
  <si>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</si>
  <si>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</si>
  <si>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</si>
  <si>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</si>
  <si>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</si>
  <si>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</si>
  <si>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</si>
  <si>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</si>
  <si>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</si>
  <si>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</si>
  <si>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</si>
  <si>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</si>
  <si>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</si>
  <si>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</si>
  <si>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</si>
  <si>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</si>
  <si>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</si>
  <si>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</si>
  <si>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</si>
  <si>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</si>
  <si>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</si>
  <si>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</si>
  <si>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</si>
  <si>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</si>
  <si>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</si>
  <si>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</si>
  <si>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</si>
  <si>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</si>
  <si>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</si>
  <si>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</si>
  <si>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</si>
  <si>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</si>
  <si>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</si>
  <si>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</si>
  <si>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</si>
  <si>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</si>
  <si>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</si>
  <si>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</si>
  <si>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</si>
  <si>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</si>
  <si>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</si>
  <si>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</si>
  <si>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</si>
  <si>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</si>
  <si>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</si>
  <si>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</si>
  <si>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</si>
  <si>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</si>
  <si>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</si>
  <si>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</si>
  <si>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</si>
  <si>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</si>
  <si>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</si>
  <si>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</si>
  <si>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</si>
  <si>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</si>
  <si>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</si>
  <si>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</si>
  <si>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</si>
  <si>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</si>
  <si>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</si>
  <si>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</si>
  <si>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</si>
  <si>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</si>
  <si>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</si>
  <si>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</si>
  <si>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</si>
  <si>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</si>
  <si>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</si>
  <si>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</si>
  <si>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</si>
  <si>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</si>
  <si>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</si>
  <si>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</si>
  <si>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</si>
  <si>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</si>
  <si>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</si>
  <si>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</si>
  <si>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</si>
  <si>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</si>
  <si>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</si>
  <si>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</si>
  <si>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curenta,din care:</t>
  </si>
  <si>
    <t>per capita</t>
  </si>
  <si>
    <t>per servicii</t>
  </si>
  <si>
    <t xml:space="preserve">  - centre de permanenta</t>
  </si>
  <si>
    <t>66.05.04.02</t>
  </si>
  <si>
    <t>Asistenta medicala  pentru specialitati clinice</t>
  </si>
  <si>
    <t>66.05.04.03</t>
  </si>
  <si>
    <t>Asistenta medicala stomatologica, din care:</t>
  </si>
  <si>
    <t xml:space="preserve">   - activitate curenta</t>
  </si>
  <si>
    <t xml:space="preserve">   -  sume pentru servicii medicale tratament si medicatie pentru personalul contractual din sistemul sanitar</t>
  </si>
  <si>
    <t>66.05.04.04</t>
  </si>
  <si>
    <t>Asistenta medicala pentru specialitati paraclinice, din care:</t>
  </si>
  <si>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</si>
  <si>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</si>
  <si>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</si>
  <si>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</si>
  <si>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</si>
  <si>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</si>
  <si>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</si>
  <si>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</si>
  <si>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</si>
  <si>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</si>
  <si>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</si>
  <si>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</si>
  <si>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</si>
  <si>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</si>
  <si>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</si>
  <si>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</si>
  <si>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</si>
  <si>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</si>
  <si>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</si>
  <si>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</si>
  <si>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</si>
  <si>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</si>
  <si>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</si>
  <si>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</si>
  <si>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 art.38, alin.3, lit.g) din Legea nr.153/2017</t>
  </si>
  <si>
    <t>~ art.38, alin.4 din Legea nr.153/2017</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</si>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</sst>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00\ &quot;lei&quot;_-;\-* #,##0.00\ &quot;lei&quot;_-;_-* &quot;-&quot;??\ &quot;lei&quot;_-;_-@_-"/>
    <numFmt numFmtId="177" formatCode="_-* #,##0\ &quot;lei&quot;_-;\-* #,##0\ &quot;lei&quot;_-;_-* &quot;-&quot;\ &quot;lei&quot;_-;_-@_-"/>
    <numFmt numFmtId="178" formatCode="_-* #,##0\ _l_e_i_-;\-* #,##0\ _l_e_i_-;_-* &quot;-&quot;\ _l_e_i_-;_-@_-"/>
    <numFmt numFmtId="179" formatCode="_-* #,##0.00\ _l_e_i_-;\-* #,##0.00\ _l_e_i_-;_-* &quot;-&quot;??\ _l_e_i_-;_-@_-"/>
    <numFmt numFmtId="180" formatCode="_-* #,##0.00\ _l_e_i_-;\-* #,##0.00\ _l_e_i_-;_-* \-??\ _l_e_i_-;_-@_-"/>
    <numFmt numFmtId="181" formatCode="#,##0.0"/>
    <numFmt numFmtId="182" formatCode="#,##0.00_ ;[Red]\-#,##0.00\ "/>
  </numFmts>
  <fonts count="53">
    <font>
      <sz val="10"/>
      <name val="Arial"/>
      <family val="2"/>
    </font>
    <font>
      <sz val="10"/>
      <name val="Calibri"/>
      <family val="2"/>
    </font>
    <font>
      <b/>
      <sz val="11"/>
      <name val="Palatino Linotype"/>
      <family val="1"/>
    </font>
    <font>
      <sz val="10"/>
      <name val="Palatino Linotype"/>
      <family val="1"/>
    </font>
    <font>
      <b/>
      <sz val="10"/>
      <name val="Palatino Linotype"/>
      <family val="1"/>
    </font>
    <font>
      <i/>
      <sz val="10"/>
      <name val="Palatino Linotype"/>
      <family val="1"/>
    </font>
    <font>
      <b/>
      <i/>
      <sz val="11"/>
      <name val="Palatino Linotype"/>
      <family val="1"/>
    </font>
    <font>
      <b/>
      <i/>
      <sz val="10"/>
      <name val="Palatino Linotype"/>
      <family val="1"/>
    </font>
    <font>
      <b/>
      <i/>
      <sz val="12"/>
      <name val="Palatino Linotype"/>
      <family val="1"/>
    </font>
    <font>
      <sz val="10"/>
      <color indexed="10"/>
      <name val="Palatino Linotype"/>
      <family val="1"/>
    </font>
    <font>
      <sz val="10"/>
      <color indexed="8"/>
      <name val="Palatino Linotype"/>
      <family val="1"/>
    </font>
    <font>
      <b/>
      <sz val="10"/>
      <color indexed="8"/>
      <name val="Palatino Linotype"/>
      <family val="1"/>
    </font>
    <font>
      <sz val="12"/>
      <name val="Palatino Linotype"/>
      <family val="1"/>
    </font>
    <font>
      <b/>
      <sz val="12"/>
      <name val="Palatino Linotype"/>
      <family val="1"/>
    </font>
    <font>
      <sz val="12"/>
      <name val="Arial"/>
      <family val="2"/>
    </font>
    <font>
      <sz val="12"/>
      <color indexed="8"/>
      <name val="Palatino Linotype"/>
      <family val="1"/>
    </font>
    <font>
      <i/>
      <sz val="11"/>
      <color indexed="23"/>
      <name val="Calibri"/>
      <family val="2"/>
    </font>
    <font>
      <sz val="11"/>
      <color indexed="8"/>
      <name val="Calibri"/>
      <family val="2"/>
    </font>
    <font>
      <sz val="11"/>
      <color indexed="53"/>
      <name val="Calibri"/>
      <family val="2"/>
    </font>
    <font>
      <b/>
      <sz val="11"/>
      <color indexed="54"/>
      <name val="Calibri"/>
      <family val="2"/>
    </font>
    <font>
      <b/>
      <sz val="13"/>
      <color indexed="54"/>
      <name val="Calibri"/>
      <family val="2"/>
    </font>
    <font>
      <sz val="11"/>
      <color indexed="9"/>
      <name val="Calibri"/>
      <family val="2"/>
    </font>
    <font>
      <b/>
      <sz val="11"/>
      <color indexed="53"/>
      <name val="Calibri"/>
      <family val="2"/>
    </font>
    <font>
      <b/>
      <sz val="11"/>
      <color indexed="9"/>
      <name val="Calibri"/>
      <family val="2"/>
    </font>
    <font>
      <b/>
      <sz val="15"/>
      <color indexed="54"/>
      <name val="Calibri"/>
      <family val="2"/>
    </font>
    <font>
      <sz val="11"/>
      <color indexed="10"/>
      <name val="Calibri"/>
      <family val="2"/>
    </font>
    <font>
      <u val="single"/>
      <sz val="10"/>
      <color indexed="12"/>
      <name val="Arial"/>
      <family val="2"/>
    </font>
    <font>
      <sz val="11"/>
      <color indexed="19"/>
      <name val="Calibri"/>
      <family val="2"/>
    </font>
    <font>
      <sz val="11"/>
      <color indexed="62"/>
      <name val="Calibri"/>
      <family val="2"/>
    </font>
    <font>
      <b/>
      <sz val="18"/>
      <color indexed="54"/>
      <name val="Calibri"/>
      <family val="2"/>
    </font>
    <font>
      <u val="single"/>
      <sz val="10"/>
      <color indexed="36"/>
      <name val="Arial"/>
      <family val="2"/>
    </font>
    <font>
      <sz val="11"/>
      <color indexed="16"/>
      <name val="Calibri"/>
      <family val="2"/>
    </font>
    <font>
      <sz val="10"/>
      <name val="Mangal"/>
      <family val="2"/>
    </font>
    <font>
      <b/>
      <sz val="11"/>
      <color indexed="63"/>
      <name val="Calibri"/>
      <family val="2"/>
    </font>
    <font>
      <sz val="11"/>
      <color indexed="17"/>
      <name val="Calibri"/>
      <family val="2"/>
    </font>
    <font>
      <b/>
      <sz val="11"/>
      <color indexed="8"/>
      <name val="Calibri"/>
      <family val="2"/>
    </font>
    <font>
      <sz val="11"/>
      <color theme="1"/>
      <name val="Calibri"/>
      <family val="2"/>
    </font>
    <font>
      <b/>
      <sz val="11"/>
      <color rgb="FFFFFFFF"/>
      <name val="Calibri"/>
      <family val="2"/>
    </font>
    <font>
      <b/>
      <sz val="13"/>
      <color theme="3"/>
      <name val="Calibri"/>
      <family val="2"/>
    </font>
    <font>
      <sz val="11"/>
      <color theme="0"/>
      <name val="Calibri"/>
      <family val="2"/>
    </font>
    <font>
      <sz val="11"/>
      <color rgb="FFFF0000"/>
      <name val="Calibri"/>
      <family val="2"/>
    </font>
    <font>
      <b/>
      <sz val="18"/>
      <color theme="3"/>
      <name val="Calibri"/>
      <family val="2"/>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s>
  <fills count="37">
    <fill>
      <patternFill/>
    </fill>
    <fill>
      <patternFill patternType="gray125"/>
    </fill>
    <fill>
      <patternFill patternType="solid">
        <fgColor theme="4" tint="0.5999900102615356"/>
        <bgColor indexed="64"/>
      </patternFill>
    </fill>
    <fill>
      <patternFill patternType="solid">
        <fgColor rgb="FFA5A5A5"/>
        <bgColor indexed="64"/>
      </patternFill>
    </fill>
    <fill>
      <patternFill patternType="solid">
        <fgColor rgb="FFFFFFCC"/>
        <bgColor indexed="64"/>
      </patternFill>
    </fill>
    <fill>
      <patternFill patternType="solid">
        <fgColor theme="7" tint="0.39998000860214233"/>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rgb="FFFFFFFF"/>
        <bgColor indexed="64"/>
      </patternFill>
    </fill>
    <fill>
      <patternFill patternType="solid">
        <fgColor indexed="9"/>
        <bgColor indexed="64"/>
      </patternFill>
    </fill>
    <fill>
      <patternFill patternType="solid">
        <fgColor indexed="9"/>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right/>
      <top style="thin">
        <color theme="4"/>
      </top>
      <bottom style="double">
        <color theme="4"/>
      </bottom>
    </border>
    <border>
      <left style="hair">
        <color indexed="8"/>
      </left>
      <right style="hair">
        <color indexed="8"/>
      </right>
      <top style="hair">
        <color indexed="8"/>
      </top>
      <bottom style="hair">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179" fontId="0" fillId="0" borderId="0" applyFill="0" applyBorder="0" applyAlignment="0" applyProtection="0"/>
    <xf numFmtId="178" fontId="0" fillId="0" borderId="0" applyFill="0" applyBorder="0" applyAlignment="0" applyProtection="0"/>
    <xf numFmtId="177" fontId="0" fillId="0" borderId="0" applyFill="0" applyBorder="0" applyAlignment="0" applyProtection="0"/>
    <xf numFmtId="176" fontId="0" fillId="0" borderId="0" applyFill="0" applyBorder="0" applyAlignment="0" applyProtection="0"/>
    <xf numFmtId="9" fontId="0" fillId="0" borderId="0" applyFill="0" applyBorder="0" applyAlignment="0" applyProtection="0"/>
    <xf numFmtId="0" fontId="37" fillId="3" borderId="1" applyNumberFormat="0" applyAlignment="0" applyProtection="0"/>
    <xf numFmtId="0" fontId="38" fillId="0" borderId="2" applyNumberFormat="0" applyFill="0" applyAlignment="0" applyProtection="0"/>
    <xf numFmtId="0" fontId="17" fillId="4" borderId="3" applyNumberFormat="0" applyFont="0" applyAlignment="0" applyProtection="0"/>
    <xf numFmtId="0" fontId="26" fillId="0" borderId="0" applyNumberFormat="0" applyFill="0" applyBorder="0" applyAlignment="0" applyProtection="0"/>
    <xf numFmtId="0" fontId="14" fillId="0" borderId="0">
      <alignment/>
      <protection/>
    </xf>
    <xf numFmtId="0" fontId="39" fillId="5" borderId="0" applyNumberFormat="0" applyBorder="0" applyAlignment="0" applyProtection="0"/>
    <xf numFmtId="0" fontId="30" fillId="0" borderId="0" applyNumberFormat="0" applyFill="0" applyBorder="0" applyAlignment="0" applyProtection="0"/>
    <xf numFmtId="0" fontId="36" fillId="6" borderId="0" applyNumberFormat="0" applyBorder="0" applyAlignment="0" applyProtection="0"/>
    <xf numFmtId="0" fontId="40" fillId="0" borderId="0" applyNumberFormat="0" applyFill="0" applyBorder="0" applyAlignment="0" applyProtection="0"/>
    <xf numFmtId="0" fontId="36" fillId="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8" borderId="5" applyNumberFormat="0" applyAlignment="0" applyProtection="0"/>
    <xf numFmtId="0" fontId="0" fillId="0" borderId="0">
      <alignment/>
      <protection/>
    </xf>
    <xf numFmtId="3" fontId="0" fillId="0" borderId="0">
      <alignment/>
      <protection/>
    </xf>
    <xf numFmtId="0" fontId="39" fillId="9" borderId="0" applyNumberFormat="0" applyBorder="0" applyAlignment="0" applyProtection="0"/>
    <xf numFmtId="0" fontId="46" fillId="10" borderId="0" applyNumberFormat="0" applyBorder="0" applyAlignment="0" applyProtection="0"/>
    <xf numFmtId="0" fontId="47" fillId="11" borderId="6" applyNumberFormat="0" applyAlignment="0" applyProtection="0"/>
    <xf numFmtId="0" fontId="36" fillId="12" borderId="0" applyNumberFormat="0" applyBorder="0" applyAlignment="0" applyProtection="0"/>
    <xf numFmtId="0" fontId="48" fillId="11" borderId="5"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13" borderId="0" applyNumberFormat="0" applyBorder="0" applyAlignment="0" applyProtection="0"/>
    <xf numFmtId="0" fontId="52" fillId="14" borderId="0" applyNumberFormat="0" applyBorder="0" applyAlignment="0" applyProtection="0"/>
    <xf numFmtId="0" fontId="39" fillId="15" borderId="0" applyNumberFormat="0" applyBorder="0" applyAlignment="0" applyProtection="0"/>
    <xf numFmtId="0" fontId="0" fillId="0" borderId="0">
      <alignment/>
      <protection/>
    </xf>
    <xf numFmtId="0" fontId="0" fillId="0" borderId="0">
      <alignment/>
      <protection/>
    </xf>
    <xf numFmtId="0" fontId="36"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0" fillId="0" borderId="0">
      <alignment/>
      <protection/>
    </xf>
    <xf numFmtId="0" fontId="36" fillId="19" borderId="0" applyNumberFormat="0" applyBorder="0" applyAlignment="0" applyProtection="0"/>
    <xf numFmtId="0" fontId="0" fillId="0" borderId="0">
      <alignment/>
      <protection/>
    </xf>
    <xf numFmtId="0" fontId="36"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6" fillId="23" borderId="0" applyNumberFormat="0" applyBorder="0" applyAlignment="0" applyProtection="0"/>
    <xf numFmtId="0" fontId="0" fillId="0" borderId="0">
      <alignment/>
      <protection/>
    </xf>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9" fontId="32" fillId="0" borderId="0" applyFill="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protection/>
    </xf>
    <xf numFmtId="180" fontId="32" fillId="0" borderId="0" applyFill="0" applyBorder="0" applyAlignment="0" applyProtection="0"/>
    <xf numFmtId="0" fontId="0" fillId="0" borderId="0">
      <alignment/>
      <protection/>
    </xf>
  </cellStyleXfs>
  <cellXfs count="136">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wrapText="1"/>
    </xf>
    <xf numFmtId="0" fontId="4" fillId="0" borderId="0" xfId="0" applyFont="1" applyFill="1" applyAlignment="1">
      <alignment/>
    </xf>
    <xf numFmtId="0" fontId="5" fillId="0" borderId="0" xfId="0" applyFont="1" applyFill="1" applyAlignment="1">
      <alignment/>
    </xf>
    <xf numFmtId="0" fontId="3" fillId="33" borderId="0" xfId="0" applyFont="1" applyFill="1" applyAlignment="1">
      <alignment/>
    </xf>
    <xf numFmtId="49" fontId="3" fillId="0" borderId="0" xfId="0" applyNumberFormat="1" applyFont="1" applyFill="1" applyBorder="1" applyAlignment="1">
      <alignment vertical="top" wrapText="1"/>
    </xf>
    <xf numFmtId="3" fontId="3" fillId="0" borderId="0" xfId="0" applyNumberFormat="1" applyFont="1" applyFill="1" applyBorder="1" applyAlignment="1">
      <alignment/>
    </xf>
    <xf numFmtId="0" fontId="3" fillId="0" borderId="0" xfId="0" applyFont="1" applyFill="1" applyAlignment="1">
      <alignment/>
    </xf>
    <xf numFmtId="49" fontId="2" fillId="0" borderId="0" xfId="0" applyNumberFormat="1" applyFont="1" applyFill="1" applyBorder="1" applyAlignment="1">
      <alignment vertical="top"/>
    </xf>
    <xf numFmtId="3" fontId="6" fillId="0" borderId="0" xfId="0" applyNumberFormat="1" applyFont="1" applyFill="1" applyBorder="1" applyAlignment="1">
      <alignment horizontal="center"/>
    </xf>
    <xf numFmtId="3" fontId="2" fillId="0" borderId="0" xfId="0" applyNumberFormat="1" applyFont="1" applyFill="1" applyBorder="1" applyAlignment="1">
      <alignment/>
    </xf>
    <xf numFmtId="3" fontId="7"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4" fontId="3" fillId="0" borderId="0" xfId="0" applyNumberFormat="1" applyFont="1" applyFill="1" applyBorder="1" applyAlignment="1">
      <alignment/>
    </xf>
    <xf numFmtId="4" fontId="4" fillId="0" borderId="0" xfId="0" applyNumberFormat="1" applyFont="1" applyFill="1" applyBorder="1" applyAlignment="1">
      <alignment wrapText="1"/>
    </xf>
    <xf numFmtId="3" fontId="4" fillId="0" borderId="0" xfId="0" applyNumberFormat="1" applyFont="1" applyFill="1" applyBorder="1" applyAlignment="1">
      <alignment wrapText="1"/>
    </xf>
    <xf numFmtId="181" fontId="3" fillId="0" borderId="0" xfId="0" applyNumberFormat="1" applyFont="1" applyFill="1" applyBorder="1" applyAlignment="1">
      <alignment/>
    </xf>
    <xf numFmtId="3" fontId="7" fillId="0" borderId="0" xfId="0" applyNumberFormat="1" applyFont="1" applyFill="1" applyBorder="1" applyAlignment="1">
      <alignment horizontal="center" wrapText="1"/>
    </xf>
    <xf numFmtId="49" fontId="4" fillId="0" borderId="9"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top" wrapText="1"/>
    </xf>
    <xf numFmtId="3" fontId="4" fillId="0" borderId="9" xfId="0" applyNumberFormat="1" applyFont="1" applyFill="1" applyBorder="1" applyAlignment="1">
      <alignment horizontal="center"/>
    </xf>
    <xf numFmtId="3" fontId="7" fillId="0" borderId="9" xfId="0" applyNumberFormat="1" applyFont="1" applyFill="1" applyBorder="1" applyAlignment="1">
      <alignment horizontal="center"/>
    </xf>
    <xf numFmtId="49" fontId="4" fillId="0" borderId="9" xfId="0" applyNumberFormat="1" applyFont="1" applyFill="1" applyBorder="1" applyAlignment="1">
      <alignment vertical="top" wrapText="1"/>
    </xf>
    <xf numFmtId="182" fontId="4" fillId="0" borderId="9" xfId="54" applyNumberFormat="1" applyFont="1" applyFill="1" applyBorder="1" applyAlignment="1" applyProtection="1">
      <alignment horizontal="left" wrapText="1"/>
      <protection/>
    </xf>
    <xf numFmtId="4" fontId="4" fillId="0" borderId="9" xfId="49" applyNumberFormat="1" applyFont="1" applyFill="1" applyBorder="1" applyAlignment="1" applyProtection="1">
      <alignment horizontal="right" wrapText="1"/>
      <protection/>
    </xf>
    <xf numFmtId="182" fontId="4" fillId="0" borderId="9" xfId="54" applyNumberFormat="1" applyFont="1" applyFill="1" applyBorder="1" applyAlignment="1">
      <alignment wrapText="1"/>
      <protection/>
    </xf>
    <xf numFmtId="4" fontId="4" fillId="0" borderId="9" xfId="49" applyNumberFormat="1" applyFont="1" applyFill="1" applyBorder="1" applyAlignment="1">
      <alignment horizontal="right" wrapText="1"/>
      <protection/>
    </xf>
    <xf numFmtId="49" fontId="4" fillId="0" borderId="9" xfId="0" applyNumberFormat="1" applyFont="1" applyFill="1" applyBorder="1" applyAlignment="1">
      <alignment horizontal="left" vertical="top" wrapText="1"/>
    </xf>
    <xf numFmtId="49" fontId="3" fillId="0" borderId="9" xfId="0" applyNumberFormat="1" applyFont="1" applyFill="1" applyBorder="1" applyAlignment="1">
      <alignment vertical="top" wrapText="1"/>
    </xf>
    <xf numFmtId="4" fontId="3" fillId="0" borderId="9" xfId="54" applyNumberFormat="1" applyFont="1" applyFill="1" applyBorder="1" applyAlignment="1">
      <alignment wrapText="1"/>
      <protection/>
    </xf>
    <xf numFmtId="4" fontId="7" fillId="0" borderId="9" xfId="0" applyNumberFormat="1" applyFont="1" applyFill="1" applyBorder="1" applyAlignment="1">
      <alignment horizontal="right"/>
    </xf>
    <xf numFmtId="4" fontId="3" fillId="0" borderId="9" xfId="49" applyNumberFormat="1" applyFont="1" applyFill="1" applyBorder="1" applyAlignment="1" applyProtection="1">
      <alignment horizontal="right" wrapText="1"/>
      <protection/>
    </xf>
    <xf numFmtId="4" fontId="3" fillId="0" borderId="9" xfId="0" applyNumberFormat="1" applyFont="1" applyFill="1" applyBorder="1" applyAlignment="1">
      <alignment/>
    </xf>
    <xf numFmtId="182" fontId="3" fillId="0" borderId="9" xfId="54" applyNumberFormat="1" applyFont="1" applyFill="1" applyBorder="1" applyAlignment="1">
      <alignment wrapText="1"/>
      <protection/>
    </xf>
    <xf numFmtId="182" fontId="3" fillId="0" borderId="9" xfId="54" applyNumberFormat="1" applyFont="1" applyFill="1" applyBorder="1" applyAlignment="1" applyProtection="1">
      <alignment horizontal="left" vertical="center" wrapText="1"/>
      <protection/>
    </xf>
    <xf numFmtId="4" fontId="2" fillId="0" borderId="9" xfId="49" applyNumberFormat="1" applyFont="1" applyFill="1" applyBorder="1" applyAlignment="1">
      <alignment horizontal="right" wrapText="1"/>
      <protection/>
    </xf>
    <xf numFmtId="49" fontId="5" fillId="0" borderId="9" xfId="0" applyNumberFormat="1" applyFont="1" applyFill="1" applyBorder="1" applyAlignment="1">
      <alignment vertical="top" wrapText="1"/>
    </xf>
    <xf numFmtId="182" fontId="5" fillId="0" borderId="9" xfId="54" applyNumberFormat="1" applyFont="1" applyFill="1" applyBorder="1" applyAlignment="1">
      <alignment wrapText="1"/>
      <protection/>
    </xf>
    <xf numFmtId="4" fontId="6" fillId="0" borderId="9" xfId="0" applyNumberFormat="1" applyFont="1" applyFill="1" applyBorder="1" applyAlignment="1">
      <alignment horizontal="right"/>
    </xf>
    <xf numFmtId="4" fontId="4" fillId="0" borderId="9" xfId="49" applyNumberFormat="1" applyFont="1" applyFill="1" applyBorder="1" applyAlignment="1">
      <alignment horizontal="right"/>
      <protection/>
    </xf>
    <xf numFmtId="4" fontId="4" fillId="0" borderId="0" xfId="0" applyNumberFormat="1" applyFont="1" applyFill="1" applyAlignment="1">
      <alignment/>
    </xf>
    <xf numFmtId="4" fontId="3" fillId="0" borderId="9" xfId="0" applyNumberFormat="1" applyFont="1" applyFill="1" applyBorder="1" applyAlignment="1">
      <alignment vertical="top" wrapText="1"/>
    </xf>
    <xf numFmtId="49" fontId="3" fillId="0" borderId="9" xfId="0" applyNumberFormat="1" applyFont="1" applyFill="1" applyBorder="1" applyAlignment="1">
      <alignment horizontal="left" vertical="top" wrapText="1"/>
    </xf>
    <xf numFmtId="182" fontId="4" fillId="0" borderId="9" xfId="49" applyNumberFormat="1" applyFont="1" applyFill="1" applyBorder="1" applyAlignment="1">
      <alignment wrapText="1"/>
      <protection/>
    </xf>
    <xf numFmtId="182" fontId="3" fillId="0" borderId="9" xfId="49" applyNumberFormat="1" applyFont="1" applyFill="1" applyBorder="1" applyAlignment="1">
      <alignment wrapText="1"/>
      <protection/>
    </xf>
    <xf numFmtId="49" fontId="9" fillId="0" borderId="9" xfId="0" applyNumberFormat="1" applyFont="1" applyFill="1" applyBorder="1" applyAlignment="1">
      <alignment vertical="top" wrapText="1"/>
    </xf>
    <xf numFmtId="4" fontId="2" fillId="0" borderId="9" xfId="49" applyNumberFormat="1" applyFont="1" applyFill="1" applyBorder="1" applyAlignment="1" applyProtection="1">
      <alignment horizontal="right" wrapText="1"/>
      <protection/>
    </xf>
    <xf numFmtId="4" fontId="7" fillId="34" borderId="9" xfId="0" applyNumberFormat="1" applyFont="1" applyFill="1" applyBorder="1" applyAlignment="1">
      <alignment horizontal="right"/>
    </xf>
    <xf numFmtId="4" fontId="3" fillId="0" borderId="9" xfId="54" applyNumberFormat="1" applyFont="1" applyFill="1" applyBorder="1" applyAlignment="1">
      <alignment horizontal="left" wrapText="1"/>
      <protection/>
    </xf>
    <xf numFmtId="4" fontId="3" fillId="34" borderId="9" xfId="49" applyNumberFormat="1" applyFont="1" applyFill="1" applyBorder="1" applyAlignment="1" applyProtection="1">
      <alignment horizontal="right" wrapText="1"/>
      <protection/>
    </xf>
    <xf numFmtId="4" fontId="3" fillId="0" borderId="9" xfId="0" applyNumberFormat="1" applyFont="1" applyFill="1" applyBorder="1" applyAlignment="1" applyProtection="1">
      <alignment wrapText="1"/>
      <protection/>
    </xf>
    <xf numFmtId="4" fontId="3" fillId="0" borderId="9" xfId="0" applyNumberFormat="1" applyFont="1" applyFill="1" applyBorder="1" applyAlignment="1" applyProtection="1">
      <alignment horizontal="left" wrapText="1"/>
      <protection/>
    </xf>
    <xf numFmtId="4" fontId="5" fillId="0" borderId="9" xfId="0" applyNumberFormat="1" applyFont="1" applyFill="1" applyBorder="1" applyAlignment="1">
      <alignment horizontal="right"/>
    </xf>
    <xf numFmtId="4" fontId="4" fillId="0" borderId="9" xfId="0" applyNumberFormat="1" applyFont="1" applyFill="1" applyBorder="1" applyAlignment="1" applyProtection="1">
      <alignment horizontal="left" wrapText="1"/>
      <protection/>
    </xf>
    <xf numFmtId="182" fontId="10" fillId="0" borderId="9" xfId="54" applyNumberFormat="1" applyFont="1" applyFill="1" applyBorder="1" applyAlignment="1">
      <alignment wrapText="1"/>
      <protection/>
    </xf>
    <xf numFmtId="4" fontId="3" fillId="0" borderId="9" xfId="54" applyNumberFormat="1" applyFont="1" applyFill="1" applyBorder="1" applyAlignment="1" applyProtection="1">
      <alignment wrapText="1"/>
      <protection/>
    </xf>
    <xf numFmtId="4" fontId="3" fillId="34" borderId="9" xfId="0" applyNumberFormat="1" applyFont="1" applyFill="1" applyBorder="1" applyAlignment="1">
      <alignment/>
    </xf>
    <xf numFmtId="4" fontId="3" fillId="0" borderId="9" xfId="0" applyNumberFormat="1" applyFont="1" applyFill="1" applyBorder="1" applyAlignment="1" applyProtection="1">
      <alignment/>
      <protection/>
    </xf>
    <xf numFmtId="182" fontId="10" fillId="0" borderId="9" xfId="54" applyNumberFormat="1" applyFont="1" applyFill="1" applyBorder="1" applyAlignment="1">
      <alignment horizontal="left" vertical="center" wrapText="1"/>
      <protection/>
    </xf>
    <xf numFmtId="182" fontId="11" fillId="0" borderId="9" xfId="49" applyNumberFormat="1" applyFont="1" applyFill="1" applyBorder="1" applyAlignment="1">
      <alignment horizontal="left" vertical="center" wrapText="1"/>
      <protection/>
    </xf>
    <xf numFmtId="182" fontId="10" fillId="0" borderId="9" xfId="49" applyNumberFormat="1" applyFont="1" applyFill="1" applyBorder="1" applyAlignment="1">
      <alignment horizontal="left" vertical="center" wrapText="1"/>
      <protection/>
    </xf>
    <xf numFmtId="3" fontId="3" fillId="0" borderId="9" xfId="0" applyNumberFormat="1" applyFont="1" applyFill="1" applyBorder="1" applyAlignment="1" applyProtection="1">
      <alignment vertical="top" wrapText="1"/>
      <protection/>
    </xf>
    <xf numFmtId="3" fontId="5" fillId="0" borderId="9" xfId="0" applyNumberFormat="1" applyFont="1" applyFill="1" applyBorder="1" applyAlignment="1" applyProtection="1">
      <alignment horizontal="center" vertical="top" wrapText="1"/>
      <protection/>
    </xf>
    <xf numFmtId="4" fontId="3" fillId="35" borderId="9" xfId="0" applyNumberFormat="1" applyFont="1" applyFill="1" applyBorder="1" applyAlignment="1">
      <alignment/>
    </xf>
    <xf numFmtId="182" fontId="4" fillId="0" borderId="9" xfId="74" applyNumberFormat="1" applyFont="1" applyFill="1" applyBorder="1" applyAlignment="1">
      <alignment vertical="top" wrapText="1"/>
      <protection/>
    </xf>
    <xf numFmtId="182" fontId="4" fillId="0" borderId="9" xfId="72" applyNumberFormat="1" applyFont="1" applyFill="1" applyBorder="1" applyAlignment="1" applyProtection="1">
      <alignment vertical="top" wrapText="1"/>
      <protection/>
    </xf>
    <xf numFmtId="4" fontId="3" fillId="0" borderId="9" xfId="0" applyNumberFormat="1" applyFont="1" applyFill="1" applyBorder="1" applyAlignment="1">
      <alignment horizontal="left" vertical="center" wrapText="1"/>
    </xf>
    <xf numFmtId="2" fontId="3" fillId="0" borderId="9" xfId="54" applyNumberFormat="1" applyFont="1" applyFill="1" applyBorder="1" applyAlignment="1">
      <alignment wrapText="1"/>
      <protection/>
    </xf>
    <xf numFmtId="182" fontId="3" fillId="0" borderId="9" xfId="54" applyNumberFormat="1" applyFont="1" applyFill="1" applyBorder="1" applyAlignment="1">
      <alignment horizontal="left" wrapText="1"/>
      <protection/>
    </xf>
    <xf numFmtId="49" fontId="4" fillId="33" borderId="9" xfId="0" applyNumberFormat="1" applyFont="1" applyFill="1" applyBorder="1" applyAlignment="1">
      <alignment vertical="top" wrapText="1"/>
    </xf>
    <xf numFmtId="182" fontId="3" fillId="33" borderId="9" xfId="54" applyNumberFormat="1" applyFont="1" applyFill="1" applyBorder="1" applyAlignment="1">
      <alignment wrapText="1"/>
      <protection/>
    </xf>
    <xf numFmtId="4" fontId="7" fillId="33" borderId="9" xfId="0" applyNumberFormat="1" applyFont="1" applyFill="1" applyBorder="1" applyAlignment="1">
      <alignment horizontal="right"/>
    </xf>
    <xf numFmtId="4" fontId="3" fillId="33" borderId="9" xfId="49" applyNumberFormat="1" applyFont="1" applyFill="1" applyBorder="1" applyAlignment="1" applyProtection="1">
      <alignment horizontal="right" wrapText="1"/>
      <protection/>
    </xf>
    <xf numFmtId="182" fontId="4" fillId="0" borderId="9" xfId="54" applyNumberFormat="1" applyFont="1" applyFill="1" applyBorder="1" applyAlignment="1">
      <alignment/>
      <protection/>
    </xf>
    <xf numFmtId="182" fontId="3" fillId="0" borderId="9" xfId="54" applyNumberFormat="1" applyFont="1" applyFill="1" applyBorder="1" applyAlignment="1">
      <alignment/>
      <protection/>
    </xf>
    <xf numFmtId="3" fontId="4" fillId="0" borderId="9" xfId="0" applyNumberFormat="1" applyFont="1" applyFill="1" applyBorder="1" applyAlignment="1">
      <alignment wrapText="1"/>
    </xf>
    <xf numFmtId="4" fontId="4" fillId="0" borderId="9" xfId="0" applyNumberFormat="1" applyFont="1" applyFill="1" applyBorder="1" applyAlignment="1">
      <alignment/>
    </xf>
    <xf numFmtId="3" fontId="3" fillId="0" borderId="9" xfId="0" applyNumberFormat="1" applyFont="1" applyFill="1" applyBorder="1" applyAlignment="1">
      <alignment wrapText="1"/>
    </xf>
    <xf numFmtId="4" fontId="4" fillId="33" borderId="0" xfId="0" applyNumberFormat="1" applyFont="1" applyFill="1" applyAlignment="1">
      <alignment/>
    </xf>
    <xf numFmtId="4" fontId="3" fillId="0" borderId="0" xfId="0" applyNumberFormat="1" applyFont="1" applyFill="1" applyAlignment="1">
      <alignment/>
    </xf>
    <xf numFmtId="4" fontId="12" fillId="0" borderId="0" xfId="0" applyNumberFormat="1" applyFont="1" applyFill="1" applyBorder="1" applyAlignment="1">
      <alignment/>
    </xf>
    <xf numFmtId="0" fontId="13" fillId="0" borderId="0" xfId="0" applyFont="1" applyFill="1" applyBorder="1" applyAlignment="1">
      <alignment horizontal="center" wrapText="1"/>
    </xf>
    <xf numFmtId="4" fontId="13" fillId="0" borderId="0" xfId="0" applyNumberFormat="1" applyFont="1" applyFill="1" applyBorder="1" applyAlignment="1">
      <alignment horizontal="center" vertical="center" wrapText="1"/>
    </xf>
    <xf numFmtId="3" fontId="13" fillId="0" borderId="0" xfId="0" applyNumberFormat="1" applyFont="1" applyFill="1" applyBorder="1" applyAlignment="1">
      <alignment horizontal="center"/>
    </xf>
    <xf numFmtId="4" fontId="13" fillId="0" borderId="0" xfId="0" applyNumberFormat="1" applyFont="1" applyFill="1" applyBorder="1" applyAlignment="1">
      <alignment/>
    </xf>
    <xf numFmtId="0" fontId="12" fillId="0" borderId="0" xfId="0" applyFont="1" applyFill="1" applyAlignment="1">
      <alignment wrapText="1"/>
    </xf>
    <xf numFmtId="0" fontId="12" fillId="0" borderId="0" xfId="0" applyFont="1" applyFill="1" applyAlignment="1">
      <alignment/>
    </xf>
    <xf numFmtId="4" fontId="12" fillId="0" borderId="0" xfId="0" applyNumberFormat="1" applyFont="1" applyFill="1" applyAlignment="1">
      <alignment/>
    </xf>
    <xf numFmtId="0" fontId="12" fillId="35" borderId="0" xfId="0" applyFont="1" applyFill="1" applyAlignment="1">
      <alignment/>
    </xf>
    <xf numFmtId="0" fontId="12" fillId="0" borderId="0" xfId="0" applyFont="1" applyFill="1" applyBorder="1" applyAlignment="1">
      <alignment/>
    </xf>
    <xf numFmtId="49" fontId="13" fillId="0" borderId="0" xfId="0" applyNumberFormat="1" applyFont="1" applyFill="1" applyBorder="1" applyAlignment="1">
      <alignment vertical="top"/>
    </xf>
    <xf numFmtId="0" fontId="8" fillId="0" borderId="0" xfId="0" applyFont="1" applyFill="1" applyAlignment="1">
      <alignment horizontal="left"/>
    </xf>
    <xf numFmtId="4" fontId="8" fillId="0" borderId="0" xfId="0" applyNumberFormat="1" applyFont="1" applyFill="1" applyAlignment="1">
      <alignment horizontal="center"/>
    </xf>
    <xf numFmtId="0" fontId="13" fillId="0" borderId="0" xfId="0" applyFont="1" applyFill="1" applyAlignment="1">
      <alignment vertical="center" wrapText="1"/>
    </xf>
    <xf numFmtId="0" fontId="13" fillId="0" borderId="0" xfId="0" applyFont="1" applyFill="1" applyBorder="1" applyAlignment="1">
      <alignment horizontal="left"/>
    </xf>
    <xf numFmtId="4" fontId="12" fillId="35" borderId="0" xfId="0" applyNumberFormat="1" applyFont="1" applyFill="1" applyBorder="1" applyAlignment="1">
      <alignment/>
    </xf>
    <xf numFmtId="0" fontId="8" fillId="35" borderId="0" xfId="0" applyFont="1" applyFill="1" applyAlignment="1">
      <alignment horizontal="center"/>
    </xf>
    <xf numFmtId="4" fontId="13" fillId="0" borderId="9" xfId="0" applyNumberFormat="1" applyFont="1" applyFill="1" applyBorder="1" applyAlignment="1">
      <alignment horizontal="center" vertical="center" wrapText="1"/>
    </xf>
    <xf numFmtId="3" fontId="13" fillId="35" borderId="9" xfId="0" applyNumberFormat="1" applyFont="1" applyFill="1" applyBorder="1" applyAlignment="1">
      <alignment horizontal="center" vertical="center" wrapText="1"/>
    </xf>
    <xf numFmtId="3" fontId="13" fillId="0" borderId="9" xfId="0" applyNumberFormat="1" applyFont="1" applyFill="1" applyBorder="1" applyAlignment="1">
      <alignment horizontal="center"/>
    </xf>
    <xf numFmtId="3" fontId="13" fillId="0" borderId="9" xfId="0" applyNumberFormat="1" applyFont="1" applyFill="1" applyBorder="1" applyAlignment="1">
      <alignment horizontal="center" wrapText="1"/>
    </xf>
    <xf numFmtId="3" fontId="13" fillId="35" borderId="9" xfId="0" applyNumberFormat="1" applyFont="1" applyFill="1" applyBorder="1" applyAlignment="1">
      <alignment horizontal="center"/>
    </xf>
    <xf numFmtId="49" fontId="13" fillId="0" borderId="9" xfId="0" applyNumberFormat="1" applyFont="1" applyFill="1" applyBorder="1" applyAlignment="1">
      <alignment horizontal="left"/>
    </xf>
    <xf numFmtId="4" fontId="13" fillId="0" borderId="9" xfId="0" applyNumberFormat="1" applyFont="1" applyFill="1" applyBorder="1" applyAlignment="1">
      <alignment wrapText="1"/>
    </xf>
    <xf numFmtId="4" fontId="13" fillId="0" borderId="9" xfId="0" applyNumberFormat="1" applyFont="1" applyFill="1" applyBorder="1" applyAlignment="1">
      <alignment/>
    </xf>
    <xf numFmtId="4" fontId="13" fillId="35" borderId="9" xfId="0" applyNumberFormat="1" applyFont="1" applyFill="1" applyBorder="1" applyAlignment="1">
      <alignment/>
    </xf>
    <xf numFmtId="49" fontId="12" fillId="0" borderId="9" xfId="0" applyNumberFormat="1" applyFont="1" applyFill="1" applyBorder="1" applyAlignment="1">
      <alignment horizontal="left"/>
    </xf>
    <xf numFmtId="4" fontId="12" fillId="0" borderId="9" xfId="0" applyNumberFormat="1" applyFont="1" applyFill="1" applyBorder="1" applyAlignment="1">
      <alignment wrapText="1"/>
    </xf>
    <xf numFmtId="4" fontId="12" fillId="0" borderId="9" xfId="0" applyNumberFormat="1" applyFont="1" applyFill="1" applyBorder="1" applyAlignment="1">
      <alignment/>
    </xf>
    <xf numFmtId="4" fontId="14" fillId="35" borderId="9" xfId="0" applyNumberFormat="1" applyFont="1" applyFill="1" applyBorder="1" applyAlignment="1">
      <alignment/>
    </xf>
    <xf numFmtId="4" fontId="12" fillId="35" borderId="9" xfId="0" applyNumberFormat="1" applyFont="1" applyFill="1" applyBorder="1" applyAlignment="1">
      <alignment/>
    </xf>
    <xf numFmtId="0" fontId="12" fillId="0" borderId="9" xfId="0" applyFont="1" applyFill="1" applyBorder="1" applyAlignment="1">
      <alignment wrapText="1"/>
    </xf>
    <xf numFmtId="49" fontId="12" fillId="0" borderId="9" xfId="50" applyNumberFormat="1" applyFont="1" applyFill="1" applyBorder="1" applyAlignment="1" applyProtection="1">
      <alignment horizontal="left"/>
      <protection locked="0"/>
    </xf>
    <xf numFmtId="4" fontId="12" fillId="0" borderId="9" xfId="50" applyNumberFormat="1" applyFont="1" applyFill="1" applyBorder="1" applyAlignment="1" applyProtection="1">
      <alignment wrapText="1"/>
      <protection locked="0"/>
    </xf>
    <xf numFmtId="4" fontId="12" fillId="36" borderId="9" xfId="0" applyNumberFormat="1" applyFont="1" applyFill="1" applyBorder="1" applyAlignment="1">
      <alignment/>
    </xf>
    <xf numFmtId="0" fontId="13" fillId="0" borderId="9" xfId="0" applyFont="1" applyFill="1" applyBorder="1" applyAlignment="1">
      <alignment wrapText="1"/>
    </xf>
    <xf numFmtId="4" fontId="15" fillId="0" borderId="9" xfId="0" applyNumberFormat="1" applyFont="1" applyFill="1" applyBorder="1" applyAlignment="1">
      <alignment wrapText="1"/>
    </xf>
    <xf numFmtId="0" fontId="13" fillId="0" borderId="0" xfId="0" applyFont="1" applyFill="1" applyBorder="1" applyAlignment="1">
      <alignment horizontal="center"/>
    </xf>
    <xf numFmtId="0" fontId="8" fillId="0" borderId="0" xfId="0" applyFont="1" applyFill="1" applyBorder="1" applyAlignment="1">
      <alignment/>
    </xf>
    <xf numFmtId="3" fontId="12" fillId="0" borderId="0" xfId="0" applyNumberFormat="1" applyFont="1" applyFill="1" applyBorder="1" applyAlignment="1">
      <alignment/>
    </xf>
    <xf numFmtId="0" fontId="13" fillId="0" borderId="0" xfId="0" applyFont="1" applyFill="1" applyBorder="1" applyAlignment="1">
      <alignment/>
    </xf>
    <xf numFmtId="3" fontId="12" fillId="0" borderId="0" xfId="0" applyNumberFormat="1" applyFont="1" applyFill="1" applyAlignment="1">
      <alignment/>
    </xf>
    <xf numFmtId="0" fontId="13" fillId="0" borderId="0" xfId="0" applyFont="1" applyFill="1" applyAlignment="1">
      <alignment/>
    </xf>
    <xf numFmtId="49" fontId="12" fillId="0" borderId="9" xfId="0" applyNumberFormat="1" applyFont="1" applyFill="1" applyBorder="1" applyAlignment="1" applyProtection="1">
      <alignment horizontal="left" vertical="center"/>
      <protection/>
    </xf>
    <xf numFmtId="4" fontId="15" fillId="0" borderId="9" xfId="0" applyNumberFormat="1" applyFont="1" applyFill="1" applyBorder="1" applyAlignment="1" applyProtection="1">
      <alignment horizontal="left" wrapText="1"/>
      <protection/>
    </xf>
    <xf numFmtId="4" fontId="12" fillId="0" borderId="9" xfId="0" applyNumberFormat="1" applyFont="1" applyFill="1" applyBorder="1" applyAlignment="1">
      <alignment horizontal="left"/>
    </xf>
    <xf numFmtId="4" fontId="12" fillId="0" borderId="9" xfId="0" applyNumberFormat="1" applyFont="1" applyFill="1" applyBorder="1" applyAlignment="1" applyProtection="1">
      <alignment horizontal="left" wrapText="1"/>
      <protection/>
    </xf>
    <xf numFmtId="182" fontId="12" fillId="0" borderId="9" xfId="0" applyNumberFormat="1" applyFont="1" applyFill="1" applyBorder="1" applyAlignment="1" applyProtection="1">
      <alignment wrapText="1"/>
      <protection/>
    </xf>
    <xf numFmtId="182" fontId="12" fillId="0" borderId="9" xfId="54" applyNumberFormat="1" applyFont="1" applyFill="1" applyBorder="1" applyAlignment="1" applyProtection="1">
      <alignment wrapText="1"/>
      <protection/>
    </xf>
    <xf numFmtId="0" fontId="12"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2" fillId="0" borderId="0" xfId="0" applyFont="1" applyFill="1" applyBorder="1" applyAlignment="1">
      <alignment wrapText="1"/>
    </xf>
    <xf numFmtId="0" fontId="12" fillId="35" borderId="0" xfId="0" applyFont="1" applyFill="1" applyBorder="1" applyAlignment="1">
      <alignment/>
    </xf>
  </cellXfs>
  <cellStyles count="61">
    <cellStyle name="Normal" xfId="0"/>
    <cellStyle name="40% - Accent1" xfId="15"/>
    <cellStyle name="Comma" xfId="16"/>
    <cellStyle name="Comma [0]" xfId="17"/>
    <cellStyle name="Currency [0]" xfId="18"/>
    <cellStyle name="Currency" xfId="19"/>
    <cellStyle name="Percent" xfId="20"/>
    <cellStyle name="Check Cell" xfId="21"/>
    <cellStyle name="Heading 2" xfId="22"/>
    <cellStyle name="Note" xfId="23"/>
    <cellStyle name="Hyperlink" xfId="24"/>
    <cellStyle name="Normal 5" xfId="25"/>
    <cellStyle name="60% - Accent4" xfId="26"/>
    <cellStyle name="Followed Hyperlink" xfId="27"/>
    <cellStyle name="40% - Accent3" xfId="28"/>
    <cellStyle name="Warning Text" xfId="29"/>
    <cellStyle name="40% - Accent2" xfId="30"/>
    <cellStyle name="Title" xfId="31"/>
    <cellStyle name="CExplanatory Text" xfId="32"/>
    <cellStyle name="Heading 1" xfId="33"/>
    <cellStyle name="Heading 3" xfId="34"/>
    <cellStyle name="Heading 4" xfId="35"/>
    <cellStyle name="Input" xfId="36"/>
    <cellStyle name="Normal 4" xfId="37"/>
    <cellStyle name="Comma0" xfId="38"/>
    <cellStyle name="60% - Accent3" xfId="39"/>
    <cellStyle name="Good" xfId="40"/>
    <cellStyle name="Output" xfId="41"/>
    <cellStyle name="20% - Accent1" xfId="42"/>
    <cellStyle name="Calculation" xfId="43"/>
    <cellStyle name="Linked Cell" xfId="44"/>
    <cellStyle name="Total" xfId="45"/>
    <cellStyle name="Bad" xfId="46"/>
    <cellStyle name="Neutral" xfId="47"/>
    <cellStyle name="Accent1" xfId="48"/>
    <cellStyle name="Normal_BUGET RECTIFICARE OUG 89 VIRARI FINALE_12.Cont executie CHELTUIELI DECEMBRIE 2014" xfId="49"/>
    <cellStyle name="Normal 2" xfId="50"/>
    <cellStyle name="20% - Accent5" xfId="51"/>
    <cellStyle name="60% - Accent1" xfId="52"/>
    <cellStyle name="Accent2" xfId="53"/>
    <cellStyle name="Normal_BUGET RECTIFICARE OUG 89 VIRARI FINALE" xfId="54"/>
    <cellStyle name="20% - Accent2" xfId="55"/>
    <cellStyle name="Normal 3" xfId="56"/>
    <cellStyle name="20% - Accent6" xfId="57"/>
    <cellStyle name="60% - Accent2" xfId="58"/>
    <cellStyle name="Accent3" xfId="59"/>
    <cellStyle name="20% - Accent3" xfId="60"/>
    <cellStyle name="Style 1" xfId="61"/>
    <cellStyle name="Accent4" xfId="62"/>
    <cellStyle name="20% - Accent4" xfId="63"/>
    <cellStyle name="40% - Accent4" xfId="64"/>
    <cellStyle name="Percent 2" xfId="65"/>
    <cellStyle name="Accent5" xfId="66"/>
    <cellStyle name="40% - Accent5" xfId="67"/>
    <cellStyle name="60% - Accent5" xfId="68"/>
    <cellStyle name="Accent6" xfId="69"/>
    <cellStyle name="40% - Accent6" xfId="70"/>
    <cellStyle name="60% - Accent6" xfId="71"/>
    <cellStyle name="Normal_LG 216 CALCULE BVC 2001" xfId="72"/>
    <cellStyle name="Comma 2" xfId="73"/>
    <cellStyle name="Normal_buget 2004 cf lg 507 2003 CU DEBL10% MAI cu virari"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00C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4"/>
  </sheetPr>
  <dimension ref="A1:IV103"/>
  <sheetViews>
    <sheetView workbookViewId="0" topLeftCell="A1">
      <pane xSplit="4" ySplit="6" topLeftCell="E49" activePane="bottomRight" state="frozen"/>
      <selection pane="bottomRight" activeCell="F18" sqref="F18"/>
    </sheetView>
  </sheetViews>
  <sheetFormatPr defaultColWidth="8.8515625" defaultRowHeight="12.75"/>
  <cols>
    <col min="1" max="1" width="13.00390625" style="88" customWidth="1"/>
    <col min="2" max="2" width="57.57421875" style="89" customWidth="1"/>
    <col min="3" max="3" width="5.57421875" style="89" hidden="1" customWidth="1"/>
    <col min="4" max="4" width="16.140625" style="90" customWidth="1"/>
    <col min="5" max="5" width="15.8515625" style="90" customWidth="1"/>
    <col min="6" max="6" width="16.8515625" style="91" customWidth="1"/>
    <col min="7" max="7" width="17.8515625" style="91" customWidth="1"/>
    <col min="8" max="8" width="11.7109375" style="92" customWidth="1"/>
    <col min="9" max="9" width="9.140625" style="92" bestFit="1" customWidth="1"/>
    <col min="10" max="10" width="10.57421875" style="92" customWidth="1"/>
    <col min="11" max="11" width="10.8515625" style="92" customWidth="1"/>
    <col min="12" max="12" width="11.00390625" style="92" customWidth="1"/>
    <col min="13" max="13" width="10.28125" style="92" customWidth="1"/>
    <col min="14" max="14" width="9.140625" style="92" bestFit="1" customWidth="1"/>
    <col min="15" max="15" width="10.00390625" style="92" customWidth="1"/>
    <col min="16" max="16" width="10.7109375" style="92" customWidth="1"/>
    <col min="17" max="17" width="10.00390625" style="92" customWidth="1"/>
    <col min="18" max="18" width="10.28125" style="92" customWidth="1"/>
    <col min="19" max="19" width="10.00390625" style="92" customWidth="1"/>
    <col min="20" max="20" width="10.8515625" style="92" customWidth="1"/>
    <col min="21" max="21" width="9.140625" style="92" bestFit="1" customWidth="1"/>
    <col min="22" max="22" width="9.7109375" style="92" customWidth="1"/>
    <col min="23" max="23" width="10.140625" style="92" customWidth="1"/>
    <col min="24" max="24" width="10.8515625" style="92" customWidth="1"/>
    <col min="25" max="25" width="9.7109375" style="92" customWidth="1"/>
    <col min="26" max="27" width="10.57421875" style="92" customWidth="1"/>
    <col min="28" max="28" width="10.8515625" style="92" customWidth="1"/>
    <col min="29" max="29" width="9.8515625" style="92" customWidth="1"/>
    <col min="30" max="30" width="9.00390625" style="92" customWidth="1"/>
    <col min="31" max="31" width="10.140625" style="92" customWidth="1"/>
    <col min="32" max="32" width="10.57421875" style="92" customWidth="1"/>
    <col min="33" max="33" width="10.7109375" style="92" customWidth="1"/>
    <col min="34" max="34" width="9.28125" style="92" customWidth="1"/>
    <col min="35" max="35" width="10.28125" style="92" customWidth="1"/>
    <col min="36" max="36" width="9.8515625" style="92" customWidth="1"/>
    <col min="37" max="37" width="10.7109375" style="92" customWidth="1"/>
    <col min="38" max="38" width="10.00390625" style="92" customWidth="1"/>
    <col min="39" max="39" width="10.28125" style="92" customWidth="1"/>
    <col min="40" max="40" width="9.57421875" style="92" customWidth="1"/>
    <col min="41" max="41" width="10.7109375" style="92" customWidth="1"/>
    <col min="42" max="42" width="10.140625" style="92" customWidth="1"/>
    <col min="43" max="43" width="10.57421875" style="92" customWidth="1"/>
    <col min="44" max="44" width="10.00390625" style="92" customWidth="1"/>
    <col min="45" max="45" width="10.8515625" style="92" customWidth="1"/>
    <col min="46" max="46" width="10.140625" style="92" customWidth="1"/>
    <col min="47" max="47" width="9.7109375" style="92" customWidth="1"/>
    <col min="48" max="48" width="10.8515625" style="92" customWidth="1"/>
    <col min="49" max="49" width="11.140625" style="92" customWidth="1"/>
    <col min="50" max="50" width="9.140625" style="92" bestFit="1" customWidth="1"/>
    <col min="51" max="51" width="10.57421875" style="92" customWidth="1"/>
    <col min="52" max="52" width="9.8515625" style="92" customWidth="1"/>
    <col min="53" max="53" width="10.8515625" style="92" customWidth="1"/>
    <col min="54" max="54" width="10.28125" style="92" customWidth="1"/>
    <col min="55" max="55" width="8.57421875" style="92" customWidth="1"/>
    <col min="56" max="56" width="10.421875" style="92" customWidth="1"/>
    <col min="57" max="58" width="9.8515625" style="92" customWidth="1"/>
    <col min="59" max="59" width="9.28125" style="92" customWidth="1"/>
    <col min="60" max="60" width="9.00390625" style="92" customWidth="1"/>
    <col min="61" max="61" width="10.421875" style="92" customWidth="1"/>
    <col min="62" max="62" width="11.28125" style="92" customWidth="1"/>
    <col min="63" max="63" width="9.8515625" style="92" customWidth="1"/>
    <col min="64" max="64" width="10.421875" style="92" customWidth="1"/>
    <col min="65" max="65" width="9.7109375" style="92" customWidth="1"/>
    <col min="66" max="66" width="11.140625" style="92" customWidth="1"/>
    <col min="67" max="67" width="10.421875" style="92" customWidth="1"/>
    <col min="68" max="68" width="10.00390625" style="92" customWidth="1"/>
    <col min="69" max="69" width="10.140625" style="92" customWidth="1"/>
    <col min="70" max="70" width="10.7109375" style="92" customWidth="1"/>
    <col min="71" max="71" width="11.140625" style="92" customWidth="1"/>
    <col min="72" max="72" width="9.57421875" style="92" customWidth="1"/>
    <col min="73" max="73" width="11.28125" style="92" customWidth="1"/>
    <col min="74" max="74" width="11.00390625" style="92" customWidth="1"/>
    <col min="75" max="75" width="9.8515625" style="92" customWidth="1"/>
    <col min="76" max="76" width="10.7109375" style="92" customWidth="1"/>
    <col min="77" max="77" width="10.28125" style="92" customWidth="1"/>
    <col min="78" max="78" width="10.57421875" style="92" customWidth="1"/>
    <col min="79" max="79" width="9.57421875" style="92" customWidth="1"/>
    <col min="80" max="80" width="8.421875" style="92" customWidth="1"/>
    <col min="81" max="81" width="10.7109375" style="92" customWidth="1"/>
    <col min="82" max="82" width="10.140625" style="92" customWidth="1"/>
    <col min="83" max="83" width="10.7109375" style="92" customWidth="1"/>
    <col min="84" max="84" width="9.8515625" style="92" customWidth="1"/>
    <col min="85" max="85" width="9.7109375" style="92" customWidth="1"/>
    <col min="86" max="86" width="10.00390625" style="92" customWidth="1"/>
    <col min="87" max="87" width="11.421875" style="92" customWidth="1"/>
    <col min="88" max="88" width="10.00390625" style="92" customWidth="1"/>
    <col min="89" max="89" width="9.7109375" style="92" customWidth="1"/>
    <col min="90" max="90" width="10.00390625" style="92" customWidth="1"/>
    <col min="91" max="91" width="10.7109375" style="92" customWidth="1"/>
    <col min="92" max="92" width="9.28125" style="92" customWidth="1"/>
    <col min="93" max="93" width="10.7109375" style="92" customWidth="1"/>
    <col min="94" max="94" width="10.140625" style="92" customWidth="1"/>
    <col min="95" max="95" width="10.8515625" style="92" customWidth="1"/>
    <col min="96" max="96" width="11.140625" style="92" customWidth="1"/>
    <col min="97" max="99" width="10.28125" style="92" customWidth="1"/>
    <col min="100" max="100" width="9.57421875" style="92" customWidth="1"/>
    <col min="101" max="101" width="10.28125" style="92" customWidth="1"/>
    <col min="102" max="102" width="9.57421875" style="92" customWidth="1"/>
    <col min="103" max="103" width="10.140625" style="92" customWidth="1"/>
    <col min="104" max="104" width="8.8515625" style="92" customWidth="1"/>
    <col min="105" max="105" width="9.421875" style="92" customWidth="1"/>
    <col min="106" max="106" width="10.28125" style="92" customWidth="1"/>
    <col min="107" max="107" width="9.8515625" style="92" customWidth="1"/>
    <col min="108" max="108" width="9.57421875" style="92" customWidth="1"/>
    <col min="109" max="109" width="9.00390625" style="92" customWidth="1"/>
    <col min="110" max="110" width="9.7109375" style="92" customWidth="1"/>
    <col min="111" max="112" width="10.421875" style="92" customWidth="1"/>
    <col min="113" max="113" width="10.140625" style="92" customWidth="1"/>
    <col min="114" max="114" width="10.28125" style="92" customWidth="1"/>
    <col min="115" max="115" width="11.57421875" style="92" customWidth="1"/>
    <col min="116" max="117" width="11.140625" style="92" customWidth="1"/>
    <col min="118" max="118" width="9.8515625" style="92" customWidth="1"/>
    <col min="119" max="119" width="8.57421875" style="92" customWidth="1"/>
    <col min="120" max="120" width="10.28125" style="92" customWidth="1"/>
    <col min="121" max="121" width="10.00390625" style="92" customWidth="1"/>
    <col min="122" max="122" width="9.8515625" style="92" customWidth="1"/>
    <col min="123" max="123" width="10.140625" style="92" customWidth="1"/>
    <col min="124" max="124" width="11.7109375" style="92" customWidth="1"/>
    <col min="125" max="125" width="8.140625" style="92" customWidth="1"/>
    <col min="126" max="126" width="8.57421875" style="92" customWidth="1"/>
    <col min="127" max="127" width="10.140625" style="92" customWidth="1"/>
    <col min="128" max="128" width="11.7109375" style="92" customWidth="1"/>
    <col min="129" max="129" width="9.57421875" style="92" customWidth="1"/>
    <col min="130" max="130" width="9.421875" style="92" customWidth="1"/>
    <col min="131" max="131" width="12.28125" style="92" customWidth="1"/>
    <col min="132" max="132" width="11.421875" style="92" customWidth="1"/>
    <col min="133" max="133" width="11.57421875" style="92" customWidth="1"/>
    <col min="134" max="134" width="11.421875" style="92" customWidth="1"/>
    <col min="135" max="135" width="14.28125" style="92" customWidth="1"/>
    <col min="136" max="136" width="10.57421875" style="92" customWidth="1"/>
    <col min="137" max="137" width="11.7109375" style="92" customWidth="1"/>
    <col min="138" max="138" width="11.00390625" style="92" customWidth="1"/>
    <col min="139" max="139" width="12.00390625" style="92" customWidth="1"/>
    <col min="140" max="140" width="10.8515625" style="92" customWidth="1"/>
    <col min="141" max="141" width="11.57421875" style="92" customWidth="1"/>
    <col min="142" max="142" width="9.8515625" style="92" customWidth="1"/>
    <col min="143" max="143" width="10.57421875" style="92" customWidth="1"/>
    <col min="144" max="145" width="9.140625" style="92" bestFit="1" customWidth="1"/>
    <col min="146" max="146" width="10.57421875" style="92" customWidth="1"/>
    <col min="147" max="147" width="9.8515625" style="92" customWidth="1"/>
    <col min="148" max="148" width="10.140625" style="92" customWidth="1"/>
    <col min="149" max="150" width="9.140625" style="92" bestFit="1" customWidth="1"/>
    <col min="151" max="151" width="10.57421875" style="92" customWidth="1"/>
    <col min="152" max="152" width="10.00390625" style="92" customWidth="1"/>
    <col min="153" max="153" width="9.8515625" style="92" customWidth="1"/>
    <col min="154" max="155" width="9.140625" style="92" bestFit="1" customWidth="1"/>
    <col min="156" max="156" width="10.421875" style="92" customWidth="1"/>
    <col min="157" max="157" width="9.7109375" style="92" customWidth="1"/>
    <col min="158" max="158" width="10.00390625" style="92" customWidth="1"/>
    <col min="159" max="160" width="9.140625" style="92" bestFit="1" customWidth="1"/>
    <col min="161" max="161" width="10.140625" style="92" customWidth="1"/>
    <col min="162" max="162" width="12.7109375" style="92" customWidth="1"/>
    <col min="163" max="174" width="9.140625" style="92" bestFit="1" customWidth="1"/>
    <col min="175" max="16384" width="9.140625" style="89" bestFit="1" customWidth="1"/>
  </cols>
  <sheetData>
    <row r="1" spans="1:256" s="83" customFormat="1" ht="17.25">
      <c r="A1" s="93" t="s">
        <v>0</v>
      </c>
      <c r="B1" s="13"/>
      <c r="C1" s="94"/>
      <c r="D1" s="95"/>
      <c r="E1" s="95"/>
      <c r="F1" s="91"/>
      <c r="G1" s="91"/>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row>
    <row r="2" spans="1:256" s="83" customFormat="1" ht="17.25" customHeight="1">
      <c r="A2" s="93"/>
      <c r="B2" s="13"/>
      <c r="C2" s="94"/>
      <c r="D2" s="95"/>
      <c r="E2" s="95"/>
      <c r="F2" s="91"/>
      <c r="G2" s="91"/>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c r="IR2" s="89"/>
      <c r="IS2" s="89"/>
      <c r="IT2" s="89"/>
      <c r="IU2" s="89"/>
      <c r="IV2" s="89"/>
    </row>
    <row r="3" spans="1:161" ht="17.25">
      <c r="A3" s="96"/>
      <c r="B3" s="94" t="s">
        <v>1</v>
      </c>
      <c r="C3" s="97"/>
      <c r="D3" s="83"/>
      <c r="E3" s="83"/>
      <c r="F3" s="98"/>
      <c r="G3" s="98"/>
      <c r="FE3" s="121"/>
    </row>
    <row r="4" spans="1:256" s="84" customFormat="1" ht="12.75" customHeight="1">
      <c r="A4" s="88"/>
      <c r="B4" s="92"/>
      <c r="C4" s="92"/>
      <c r="D4" s="83"/>
      <c r="E4" s="83"/>
      <c r="F4" s="98"/>
      <c r="G4" s="99" t="s">
        <v>2</v>
      </c>
      <c r="EG4" s="120"/>
      <c r="EH4" s="120"/>
      <c r="EI4" s="120"/>
      <c r="EJ4" s="120"/>
      <c r="EK4" s="120"/>
      <c r="FF4" s="92"/>
      <c r="FG4" s="92"/>
      <c r="FH4" s="92"/>
      <c r="FI4" s="92"/>
      <c r="FJ4" s="92"/>
      <c r="FK4" s="92"/>
      <c r="FL4" s="92"/>
      <c r="FM4" s="92"/>
      <c r="FN4" s="92"/>
      <c r="FO4" s="92"/>
      <c r="FP4" s="92"/>
      <c r="FQ4" s="92"/>
      <c r="FR4" s="92"/>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c r="IT4" s="89"/>
      <c r="IU4" s="89"/>
      <c r="IV4" s="89"/>
    </row>
    <row r="5" spans="1:256" s="85" customFormat="1" ht="104.25">
      <c r="A5" s="100" t="s">
        <v>3</v>
      </c>
      <c r="B5" s="100" t="s">
        <v>4</v>
      </c>
      <c r="C5" s="100" t="s">
        <v>5</v>
      </c>
      <c r="D5" s="100" t="s">
        <v>6</v>
      </c>
      <c r="E5" s="100" t="s">
        <v>7</v>
      </c>
      <c r="F5" s="101" t="s">
        <v>8</v>
      </c>
      <c r="G5" s="101" t="s">
        <v>9</v>
      </c>
      <c r="FF5" s="92"/>
      <c r="FG5" s="92"/>
      <c r="FH5" s="92"/>
      <c r="FI5" s="92"/>
      <c r="FJ5" s="92"/>
      <c r="FK5" s="92"/>
      <c r="FL5" s="92"/>
      <c r="FM5" s="92"/>
      <c r="FN5" s="92"/>
      <c r="FO5" s="92"/>
      <c r="FP5" s="92"/>
      <c r="FQ5" s="92"/>
      <c r="FR5" s="92"/>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row>
    <row r="6" spans="1:256" s="86" customFormat="1" ht="17.25">
      <c r="A6" s="102"/>
      <c r="B6" s="103"/>
      <c r="C6" s="103"/>
      <c r="D6" s="102"/>
      <c r="E6" s="102"/>
      <c r="F6" s="104"/>
      <c r="G6" s="104"/>
      <c r="FF6" s="122"/>
      <c r="FG6" s="122"/>
      <c r="FH6" s="122"/>
      <c r="FI6" s="122"/>
      <c r="FJ6" s="122"/>
      <c r="FK6" s="122"/>
      <c r="FL6" s="122"/>
      <c r="FM6" s="122"/>
      <c r="FN6" s="122"/>
      <c r="FO6" s="122"/>
      <c r="FP6" s="122"/>
      <c r="FQ6" s="122"/>
      <c r="FR6" s="122"/>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c r="IR6" s="124"/>
      <c r="IS6" s="124"/>
      <c r="IT6" s="124"/>
      <c r="IU6" s="124"/>
      <c r="IV6" s="124"/>
    </row>
    <row r="7" spans="1:256" s="87" customFormat="1" ht="17.25">
      <c r="A7" s="105" t="s">
        <v>10</v>
      </c>
      <c r="B7" s="106" t="s">
        <v>11</v>
      </c>
      <c r="C7" s="107">
        <f>+C8+C64+C92</f>
        <v>0</v>
      </c>
      <c r="D7" s="107">
        <f>+D8+D64+D92</f>
        <v>205198290</v>
      </c>
      <c r="E7" s="107">
        <f>+E8+E64+E92</f>
        <v>205198270</v>
      </c>
      <c r="F7" s="108">
        <f>+F8+F64+F92</f>
        <v>183108256.52999997</v>
      </c>
      <c r="G7" s="108">
        <f>+G8+G64+G92</f>
        <v>18012566.959999997</v>
      </c>
      <c r="FF7" s="83"/>
      <c r="FG7" s="83"/>
      <c r="FH7" s="92"/>
      <c r="FI7" s="92"/>
      <c r="FJ7" s="92"/>
      <c r="FK7" s="92"/>
      <c r="FL7" s="92"/>
      <c r="FM7" s="92"/>
      <c r="FN7" s="92"/>
      <c r="FO7" s="92"/>
      <c r="FP7" s="92"/>
      <c r="FQ7" s="92"/>
      <c r="FR7" s="92"/>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c r="IT7" s="89"/>
      <c r="IU7" s="89"/>
      <c r="IV7" s="89"/>
    </row>
    <row r="8" spans="1:256" s="87" customFormat="1" ht="17.25">
      <c r="A8" s="105" t="s">
        <v>12</v>
      </c>
      <c r="B8" s="106" t="s">
        <v>13</v>
      </c>
      <c r="C8" s="107">
        <f>+C14+C51+C9</f>
        <v>0</v>
      </c>
      <c r="D8" s="107">
        <f>+D14+D51+D9</f>
        <v>158562890</v>
      </c>
      <c r="E8" s="107">
        <f>+E14+E51+E9</f>
        <v>158562870</v>
      </c>
      <c r="F8" s="108">
        <f>+F14+F51+F9</f>
        <v>182600891.52999997</v>
      </c>
      <c r="G8" s="108">
        <f>+G14+G51+G9</f>
        <v>17398613.959999997</v>
      </c>
      <c r="FF8" s="83"/>
      <c r="FG8" s="83"/>
      <c r="FH8" s="92"/>
      <c r="FI8" s="92"/>
      <c r="FJ8" s="92"/>
      <c r="FK8" s="92"/>
      <c r="FL8" s="92"/>
      <c r="FM8" s="92"/>
      <c r="FN8" s="92"/>
      <c r="FO8" s="92"/>
      <c r="FP8" s="92"/>
      <c r="FQ8" s="92"/>
      <c r="FR8" s="92"/>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c r="IR8" s="89"/>
      <c r="IS8" s="89"/>
      <c r="IT8" s="89"/>
      <c r="IU8" s="89"/>
      <c r="IV8" s="89"/>
    </row>
    <row r="9" spans="1:256" s="87" customFormat="1" ht="17.25">
      <c r="A9" s="105" t="s">
        <v>14</v>
      </c>
      <c r="B9" s="106" t="s">
        <v>15</v>
      </c>
      <c r="C9" s="107">
        <f>+C10+C11+C12+C13</f>
        <v>0</v>
      </c>
      <c r="D9" s="107">
        <f>+D10+D11+D12+D13</f>
        <v>0</v>
      </c>
      <c r="E9" s="107">
        <f>+E10+E11+E12+E13</f>
        <v>0</v>
      </c>
      <c r="F9" s="108">
        <f>+F10+F11+F12+F13</f>
        <v>0</v>
      </c>
      <c r="G9" s="108">
        <f>+G10+G11+G12+G13</f>
        <v>0</v>
      </c>
      <c r="FF9" s="83"/>
      <c r="FG9" s="83"/>
      <c r="FH9" s="92"/>
      <c r="FI9" s="92"/>
      <c r="FJ9" s="92"/>
      <c r="FK9" s="92"/>
      <c r="FL9" s="92"/>
      <c r="FM9" s="92"/>
      <c r="FN9" s="92"/>
      <c r="FO9" s="92"/>
      <c r="FP9" s="92"/>
      <c r="FQ9" s="92"/>
      <c r="FR9" s="92"/>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c r="IR9" s="89"/>
      <c r="IS9" s="89"/>
      <c r="IT9" s="89"/>
      <c r="IU9" s="89"/>
      <c r="IV9" s="89"/>
    </row>
    <row r="10" spans="1:256" s="87" customFormat="1" ht="51.75">
      <c r="A10" s="105" t="s">
        <v>16</v>
      </c>
      <c r="B10" s="106" t="s">
        <v>17</v>
      </c>
      <c r="C10" s="107"/>
      <c r="D10" s="107"/>
      <c r="E10" s="107"/>
      <c r="F10" s="108"/>
      <c r="G10" s="108"/>
      <c r="FF10" s="83"/>
      <c r="FG10" s="83"/>
      <c r="FH10" s="92"/>
      <c r="FI10" s="92"/>
      <c r="FJ10" s="92"/>
      <c r="FK10" s="92"/>
      <c r="FL10" s="92"/>
      <c r="FM10" s="92"/>
      <c r="FN10" s="92"/>
      <c r="FO10" s="92"/>
      <c r="FP10" s="92"/>
      <c r="FQ10" s="92"/>
      <c r="FR10" s="92"/>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row>
    <row r="11" spans="1:256" s="87" customFormat="1" ht="51.75">
      <c r="A11" s="105" t="s">
        <v>18</v>
      </c>
      <c r="B11" s="106" t="s">
        <v>19</v>
      </c>
      <c r="C11" s="107"/>
      <c r="D11" s="107"/>
      <c r="E11" s="107"/>
      <c r="F11" s="108"/>
      <c r="G11" s="108"/>
      <c r="FF11" s="83"/>
      <c r="FG11" s="83"/>
      <c r="FH11" s="92"/>
      <c r="FI11" s="92"/>
      <c r="FJ11" s="92"/>
      <c r="FK11" s="92"/>
      <c r="FL11" s="92"/>
      <c r="FM11" s="92"/>
      <c r="FN11" s="92"/>
      <c r="FO11" s="92"/>
      <c r="FP11" s="92"/>
      <c r="FQ11" s="92"/>
      <c r="FR11" s="92"/>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c r="IR11" s="89"/>
      <c r="IS11" s="89"/>
      <c r="IT11" s="89"/>
      <c r="IU11" s="89"/>
      <c r="IV11" s="89"/>
    </row>
    <row r="12" spans="1:256" s="87" customFormat="1" ht="34.5">
      <c r="A12" s="105" t="s">
        <v>20</v>
      </c>
      <c r="B12" s="106" t="s">
        <v>21</v>
      </c>
      <c r="C12" s="107"/>
      <c r="D12" s="107"/>
      <c r="E12" s="107"/>
      <c r="F12" s="108"/>
      <c r="G12" s="108"/>
      <c r="FF12" s="83"/>
      <c r="FG12" s="83"/>
      <c r="FH12" s="92"/>
      <c r="FI12" s="92"/>
      <c r="FJ12" s="92"/>
      <c r="FK12" s="92"/>
      <c r="FL12" s="92"/>
      <c r="FM12" s="92"/>
      <c r="FN12" s="92"/>
      <c r="FO12" s="92"/>
      <c r="FP12" s="92"/>
      <c r="FQ12" s="92"/>
      <c r="FR12" s="92"/>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row>
    <row r="13" spans="1:256" s="87" customFormat="1" ht="51.75">
      <c r="A13" s="105"/>
      <c r="B13" s="106" t="s">
        <v>22</v>
      </c>
      <c r="C13" s="107"/>
      <c r="D13" s="107"/>
      <c r="E13" s="107"/>
      <c r="F13" s="108"/>
      <c r="G13" s="108"/>
      <c r="FF13" s="83"/>
      <c r="FG13" s="83"/>
      <c r="FH13" s="92"/>
      <c r="FI13" s="92"/>
      <c r="FJ13" s="92"/>
      <c r="FK13" s="92"/>
      <c r="FL13" s="92"/>
      <c r="FM13" s="92"/>
      <c r="FN13" s="92"/>
      <c r="FO13" s="92"/>
      <c r="FP13" s="92"/>
      <c r="FQ13" s="92"/>
      <c r="FR13" s="92"/>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c r="IR13" s="89"/>
      <c r="IS13" s="89"/>
      <c r="IT13" s="89"/>
      <c r="IU13" s="89"/>
      <c r="IV13" s="89"/>
    </row>
    <row r="14" spans="1:256" s="87" customFormat="1" ht="17.25">
      <c r="A14" s="105" t="s">
        <v>23</v>
      </c>
      <c r="B14" s="106" t="s">
        <v>24</v>
      </c>
      <c r="C14" s="107">
        <f>+C15+C27</f>
        <v>0</v>
      </c>
      <c r="D14" s="107">
        <f>+D15+D27</f>
        <v>158359730</v>
      </c>
      <c r="E14" s="107">
        <f>+E15+E27</f>
        <v>158359710</v>
      </c>
      <c r="F14" s="108">
        <f>+F15+F27</f>
        <v>182423899.89</v>
      </c>
      <c r="G14" s="108">
        <f>+G15+G27</f>
        <v>17368499.24</v>
      </c>
      <c r="FF14" s="83"/>
      <c r="FG14" s="83"/>
      <c r="FH14" s="92"/>
      <c r="FI14" s="92"/>
      <c r="FJ14" s="92"/>
      <c r="FK14" s="92"/>
      <c r="FL14" s="92"/>
      <c r="FM14" s="92"/>
      <c r="FN14" s="92"/>
      <c r="FO14" s="92"/>
      <c r="FP14" s="92"/>
      <c r="FQ14" s="92"/>
      <c r="FR14" s="92"/>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c r="IT14" s="89"/>
      <c r="IU14" s="89"/>
      <c r="IV14" s="89"/>
    </row>
    <row r="15" spans="1:256" s="87" customFormat="1" ht="17.25">
      <c r="A15" s="105" t="s">
        <v>25</v>
      </c>
      <c r="B15" s="106" t="s">
        <v>26</v>
      </c>
      <c r="C15" s="107">
        <f>+C16+C23+C26</f>
        <v>0</v>
      </c>
      <c r="D15" s="107">
        <f>+D16+D23+D26</f>
        <v>8382000</v>
      </c>
      <c r="E15" s="107">
        <f>+E16+E23+E26</f>
        <v>8382000</v>
      </c>
      <c r="F15" s="108">
        <f>+F16+F23+F26</f>
        <v>10256568.79</v>
      </c>
      <c r="G15" s="108">
        <f>+G16+G23+G26</f>
        <v>1453456.6400000001</v>
      </c>
      <c r="FF15" s="83"/>
      <c r="FG15" s="83"/>
      <c r="FH15" s="92"/>
      <c r="FI15" s="92"/>
      <c r="FJ15" s="92"/>
      <c r="FK15" s="92"/>
      <c r="FL15" s="92"/>
      <c r="FM15" s="92"/>
      <c r="FN15" s="92"/>
      <c r="FO15" s="92"/>
      <c r="FP15" s="92"/>
      <c r="FQ15" s="92"/>
      <c r="FR15" s="92"/>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row>
    <row r="16" spans="1:256" s="87" customFormat="1" ht="34.5">
      <c r="A16" s="105" t="s">
        <v>27</v>
      </c>
      <c r="B16" s="106" t="s">
        <v>28</v>
      </c>
      <c r="C16" s="107">
        <f>C17+C18+C20+C21+C22+C19</f>
        <v>0</v>
      </c>
      <c r="D16" s="107">
        <f>D17+D18+D20+D21+D22+D19</f>
        <v>377000</v>
      </c>
      <c r="E16" s="107">
        <f>E17+E18+E20+E21+E22+E19</f>
        <v>377000</v>
      </c>
      <c r="F16" s="108">
        <f>F17+F18+F20+F21+F22+F19</f>
        <v>1186607</v>
      </c>
      <c r="G16" s="108">
        <f>G17+G18+G20+G21+G22+G19</f>
        <v>710593</v>
      </c>
      <c r="FF16" s="83"/>
      <c r="FG16" s="83"/>
      <c r="FH16" s="92"/>
      <c r="FI16" s="92"/>
      <c r="FJ16" s="92"/>
      <c r="FK16" s="92"/>
      <c r="FL16" s="92"/>
      <c r="FM16" s="92"/>
      <c r="FN16" s="92"/>
      <c r="FO16" s="92"/>
      <c r="FP16" s="92"/>
      <c r="FQ16" s="92"/>
      <c r="FR16" s="92"/>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c r="IR16" s="89"/>
      <c r="IS16" s="89"/>
      <c r="IT16" s="89"/>
      <c r="IU16" s="89"/>
      <c r="IV16" s="89"/>
    </row>
    <row r="17" spans="1:256" s="87" customFormat="1" ht="34.5">
      <c r="A17" s="109" t="s">
        <v>29</v>
      </c>
      <c r="B17" s="110" t="s">
        <v>30</v>
      </c>
      <c r="C17" s="111"/>
      <c r="D17" s="107">
        <v>377000</v>
      </c>
      <c r="E17" s="107">
        <v>377000</v>
      </c>
      <c r="F17" s="112">
        <f>39137+33181+24816+27365+22469+26939+105299+23147+33408+77921+62393+710593</f>
        <v>1186668</v>
      </c>
      <c r="G17" s="113">
        <v>710593</v>
      </c>
      <c r="FF17" s="83"/>
      <c r="FG17" s="83"/>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c r="IR17" s="92"/>
      <c r="IS17" s="92"/>
      <c r="IT17" s="92"/>
      <c r="IU17" s="92"/>
      <c r="IV17" s="92"/>
    </row>
    <row r="18" spans="1:256" s="87" customFormat="1" ht="34.5">
      <c r="A18" s="109" t="s">
        <v>31</v>
      </c>
      <c r="B18" s="110" t="s">
        <v>32</v>
      </c>
      <c r="C18" s="111"/>
      <c r="D18" s="107"/>
      <c r="E18" s="107"/>
      <c r="F18" s="113">
        <f>-61</f>
        <v>-61</v>
      </c>
      <c r="G18" s="113"/>
      <c r="FF18" s="83"/>
      <c r="FG18" s="83"/>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2"/>
      <c r="IL18" s="92"/>
      <c r="IM18" s="92"/>
      <c r="IN18" s="92"/>
      <c r="IO18" s="92"/>
      <c r="IP18" s="92"/>
      <c r="IQ18" s="92"/>
      <c r="IR18" s="92"/>
      <c r="IS18" s="92"/>
      <c r="IT18" s="92"/>
      <c r="IU18" s="92"/>
      <c r="IV18" s="92"/>
    </row>
    <row r="19" spans="1:256" s="87" customFormat="1" ht="34.5">
      <c r="A19" s="109" t="s">
        <v>33</v>
      </c>
      <c r="B19" s="110" t="s">
        <v>34</v>
      </c>
      <c r="C19" s="111"/>
      <c r="D19" s="107"/>
      <c r="E19" s="107"/>
      <c r="F19" s="113"/>
      <c r="G19" s="113"/>
      <c r="FF19" s="83"/>
      <c r="FG19" s="83"/>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c r="IM19" s="92"/>
      <c r="IN19" s="92"/>
      <c r="IO19" s="92"/>
      <c r="IP19" s="92"/>
      <c r="IQ19" s="92"/>
      <c r="IR19" s="92"/>
      <c r="IS19" s="92"/>
      <c r="IT19" s="92"/>
      <c r="IU19" s="92"/>
      <c r="IV19" s="92"/>
    </row>
    <row r="20" spans="1:256" s="87" customFormat="1" ht="34.5">
      <c r="A20" s="109" t="s">
        <v>35</v>
      </c>
      <c r="B20" s="110" t="s">
        <v>36</v>
      </c>
      <c r="C20" s="111"/>
      <c r="D20" s="107"/>
      <c r="E20" s="107"/>
      <c r="F20" s="113"/>
      <c r="G20" s="113"/>
      <c r="FF20" s="83"/>
      <c r="FG20" s="83"/>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2"/>
      <c r="GJ20" s="92"/>
      <c r="GK20" s="92"/>
      <c r="GL20" s="92"/>
      <c r="GM20" s="92"/>
      <c r="GN20" s="92"/>
      <c r="GO20" s="92"/>
      <c r="GP20" s="92"/>
      <c r="GQ20" s="92"/>
      <c r="GR20" s="92"/>
      <c r="GS20" s="92"/>
      <c r="GT20" s="92"/>
      <c r="GU20" s="92"/>
      <c r="GV20" s="92"/>
      <c r="GW20" s="92"/>
      <c r="GX20" s="92"/>
      <c r="GY20" s="92"/>
      <c r="GZ20" s="92"/>
      <c r="HA20" s="92"/>
      <c r="HB20" s="92"/>
      <c r="HC20" s="92"/>
      <c r="HD20" s="92"/>
      <c r="HE20" s="92"/>
      <c r="HF20" s="92"/>
      <c r="HG20" s="92"/>
      <c r="HH20" s="92"/>
      <c r="HI20" s="92"/>
      <c r="HJ20" s="92"/>
      <c r="HK20" s="92"/>
      <c r="HL20" s="92"/>
      <c r="HM20" s="92"/>
      <c r="HN20" s="92"/>
      <c r="HO20" s="92"/>
      <c r="HP20" s="92"/>
      <c r="HQ20" s="92"/>
      <c r="HR20" s="92"/>
      <c r="HS20" s="92"/>
      <c r="HT20" s="92"/>
      <c r="HU20" s="92"/>
      <c r="HV20" s="92"/>
      <c r="HW20" s="92"/>
      <c r="HX20" s="92"/>
      <c r="HY20" s="92"/>
      <c r="HZ20" s="92"/>
      <c r="IA20" s="92"/>
      <c r="IB20" s="92"/>
      <c r="IC20" s="92"/>
      <c r="ID20" s="92"/>
      <c r="IE20" s="92"/>
      <c r="IF20" s="92"/>
      <c r="IG20" s="92"/>
      <c r="IH20" s="92"/>
      <c r="II20" s="92"/>
      <c r="IJ20" s="92"/>
      <c r="IK20" s="92"/>
      <c r="IL20" s="92"/>
      <c r="IM20" s="92"/>
      <c r="IN20" s="92"/>
      <c r="IO20" s="92"/>
      <c r="IP20" s="92"/>
      <c r="IQ20" s="92"/>
      <c r="IR20" s="92"/>
      <c r="IS20" s="92"/>
      <c r="IT20" s="92"/>
      <c r="IU20" s="92"/>
      <c r="IV20" s="92"/>
    </row>
    <row r="21" spans="1:256" s="87" customFormat="1" ht="34.5">
      <c r="A21" s="109" t="s">
        <v>37</v>
      </c>
      <c r="B21" s="110" t="s">
        <v>38</v>
      </c>
      <c r="C21" s="111"/>
      <c r="D21" s="107"/>
      <c r="E21" s="107"/>
      <c r="F21" s="113"/>
      <c r="G21" s="113"/>
      <c r="FF21" s="83"/>
      <c r="FG21" s="83"/>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c r="IM21" s="92"/>
      <c r="IN21" s="92"/>
      <c r="IO21" s="92"/>
      <c r="IP21" s="92"/>
      <c r="IQ21" s="92"/>
      <c r="IR21" s="92"/>
      <c r="IS21" s="92"/>
      <c r="IT21" s="92"/>
      <c r="IU21" s="92"/>
      <c r="IV21" s="92"/>
    </row>
    <row r="22" spans="1:256" s="87" customFormat="1" ht="43.5" customHeight="1">
      <c r="A22" s="109" t="s">
        <v>39</v>
      </c>
      <c r="B22" s="110" t="s">
        <v>40</v>
      </c>
      <c r="C22" s="111"/>
      <c r="D22" s="107"/>
      <c r="E22" s="107"/>
      <c r="F22" s="113"/>
      <c r="G22" s="113"/>
      <c r="FF22" s="83"/>
      <c r="FG22" s="83"/>
      <c r="FH22" s="92"/>
      <c r="FI22" s="92"/>
      <c r="FJ22" s="92"/>
      <c r="FK22" s="92"/>
      <c r="FL22" s="92"/>
      <c r="FM22" s="92"/>
      <c r="FN22" s="92"/>
      <c r="FO22" s="92"/>
      <c r="FP22" s="92"/>
      <c r="FQ22" s="92"/>
      <c r="FR22" s="92"/>
      <c r="FS22" s="92"/>
      <c r="FT22" s="92"/>
      <c r="FU22" s="92"/>
      <c r="FV22" s="92"/>
      <c r="FW22" s="92"/>
      <c r="FX22" s="92"/>
      <c r="FY22" s="92"/>
      <c r="FZ22" s="92"/>
      <c r="GA22" s="92"/>
      <c r="GB22" s="92"/>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c r="HH22" s="92"/>
      <c r="HI22" s="92"/>
      <c r="HJ22" s="92"/>
      <c r="HK22" s="92"/>
      <c r="HL22" s="92"/>
      <c r="HM22" s="92"/>
      <c r="HN22" s="92"/>
      <c r="HO22" s="92"/>
      <c r="HP22" s="92"/>
      <c r="HQ22" s="92"/>
      <c r="HR22" s="92"/>
      <c r="HS22" s="92"/>
      <c r="HT22" s="92"/>
      <c r="HU22" s="92"/>
      <c r="HV22" s="92"/>
      <c r="HW22" s="92"/>
      <c r="HX22" s="92"/>
      <c r="HY22" s="92"/>
      <c r="HZ22" s="92"/>
      <c r="IA22" s="92"/>
      <c r="IB22" s="92"/>
      <c r="IC22" s="92"/>
      <c r="ID22" s="92"/>
      <c r="IE22" s="92"/>
      <c r="IF22" s="92"/>
      <c r="IG22" s="92"/>
      <c r="IH22" s="92"/>
      <c r="II22" s="92"/>
      <c r="IJ22" s="92"/>
      <c r="IK22" s="92"/>
      <c r="IL22" s="92"/>
      <c r="IM22" s="92"/>
      <c r="IN22" s="92"/>
      <c r="IO22" s="92"/>
      <c r="IP22" s="92"/>
      <c r="IQ22" s="92"/>
      <c r="IR22" s="92"/>
      <c r="IS22" s="92"/>
      <c r="IT22" s="92"/>
      <c r="IU22" s="92"/>
      <c r="IV22" s="92"/>
    </row>
    <row r="23" spans="1:256" s="87" customFormat="1" ht="17.25">
      <c r="A23" s="105" t="s">
        <v>41</v>
      </c>
      <c r="B23" s="106" t="s">
        <v>42</v>
      </c>
      <c r="C23" s="107">
        <f>C24+C25</f>
        <v>0</v>
      </c>
      <c r="D23" s="107">
        <f>D24+D25</f>
        <v>48000</v>
      </c>
      <c r="E23" s="107">
        <f>E24+E25</f>
        <v>48000</v>
      </c>
      <c r="F23" s="108">
        <f>F24+F25</f>
        <v>151586</v>
      </c>
      <c r="G23" s="108">
        <f>G24+G25</f>
        <v>70889</v>
      </c>
      <c r="FF23" s="83"/>
      <c r="FG23" s="83"/>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c r="HH23" s="92"/>
      <c r="HI23" s="92"/>
      <c r="HJ23" s="92"/>
      <c r="HK23" s="92"/>
      <c r="HL23" s="92"/>
      <c r="HM23" s="92"/>
      <c r="HN23" s="92"/>
      <c r="HO23" s="92"/>
      <c r="HP23" s="92"/>
      <c r="HQ23" s="92"/>
      <c r="HR23" s="92"/>
      <c r="HS23" s="92"/>
      <c r="HT23" s="92"/>
      <c r="HU23" s="92"/>
      <c r="HV23" s="92"/>
      <c r="HW23" s="92"/>
      <c r="HX23" s="92"/>
      <c r="HY23" s="92"/>
      <c r="HZ23" s="92"/>
      <c r="IA23" s="92"/>
      <c r="IB23" s="92"/>
      <c r="IC23" s="92"/>
      <c r="ID23" s="92"/>
      <c r="IE23" s="92"/>
      <c r="IF23" s="92"/>
      <c r="IG23" s="92"/>
      <c r="IH23" s="92"/>
      <c r="II23" s="92"/>
      <c r="IJ23" s="92"/>
      <c r="IK23" s="92"/>
      <c r="IL23" s="92"/>
      <c r="IM23" s="92"/>
      <c r="IN23" s="92"/>
      <c r="IO23" s="92"/>
      <c r="IP23" s="92"/>
      <c r="IQ23" s="92"/>
      <c r="IR23" s="92"/>
      <c r="IS23" s="92"/>
      <c r="IT23" s="92"/>
      <c r="IU23" s="92"/>
      <c r="IV23" s="92"/>
    </row>
    <row r="24" spans="1:256" s="87" customFormat="1" ht="34.5">
      <c r="A24" s="109" t="s">
        <v>43</v>
      </c>
      <c r="B24" s="110" t="s">
        <v>44</v>
      </c>
      <c r="C24" s="111"/>
      <c r="D24" s="107">
        <v>48000</v>
      </c>
      <c r="E24" s="107">
        <v>48000</v>
      </c>
      <c r="F24" s="112">
        <f>1239+4428+408+2177+3362+507+6063+2882+2905+2404+4508+2244+10532+5260+2311+7802+3403+2367+90+6449+9356+620+32588+37681</f>
        <v>151586</v>
      </c>
      <c r="G24" s="113">
        <f>32588+620+37681</f>
        <v>70889</v>
      </c>
      <c r="FF24" s="83"/>
      <c r="FG24" s="83"/>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c r="HH24" s="92"/>
      <c r="HI24" s="92"/>
      <c r="HJ24" s="92"/>
      <c r="HK24" s="92"/>
      <c r="HL24" s="92"/>
      <c r="HM24" s="92"/>
      <c r="HN24" s="92"/>
      <c r="HO24" s="92"/>
      <c r="HP24" s="92"/>
      <c r="HQ24" s="92"/>
      <c r="HR24" s="92"/>
      <c r="HS24" s="92"/>
      <c r="HT24" s="92"/>
      <c r="HU24" s="92"/>
      <c r="HV24" s="92"/>
      <c r="HW24" s="92"/>
      <c r="HX24" s="92"/>
      <c r="HY24" s="92"/>
      <c r="HZ24" s="92"/>
      <c r="IA24" s="92"/>
      <c r="IB24" s="92"/>
      <c r="IC24" s="92"/>
      <c r="ID24" s="92"/>
      <c r="IE24" s="92"/>
      <c r="IF24" s="92"/>
      <c r="IG24" s="92"/>
      <c r="IH24" s="92"/>
      <c r="II24" s="92"/>
      <c r="IJ24" s="92"/>
      <c r="IK24" s="92"/>
      <c r="IL24" s="92"/>
      <c r="IM24" s="92"/>
      <c r="IN24" s="92"/>
      <c r="IO24" s="92"/>
      <c r="IP24" s="92"/>
      <c r="IQ24" s="92"/>
      <c r="IR24" s="92"/>
      <c r="IS24" s="92"/>
      <c r="IT24" s="92"/>
      <c r="IU24" s="92"/>
      <c r="IV24" s="92"/>
    </row>
    <row r="25" spans="1:256" s="87" customFormat="1" ht="34.5">
      <c r="A25" s="109" t="s">
        <v>45</v>
      </c>
      <c r="B25" s="110" t="s">
        <v>46</v>
      </c>
      <c r="C25" s="111"/>
      <c r="D25" s="107"/>
      <c r="E25" s="107"/>
      <c r="F25" s="112"/>
      <c r="G25" s="113"/>
      <c r="FF25" s="83"/>
      <c r="FG25" s="83"/>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c r="HH25" s="92"/>
      <c r="HI25" s="92"/>
      <c r="HJ25" s="92"/>
      <c r="HK25" s="92"/>
      <c r="HL25" s="92"/>
      <c r="HM25" s="92"/>
      <c r="HN25" s="92"/>
      <c r="HO25" s="92"/>
      <c r="HP25" s="92"/>
      <c r="HQ25" s="92"/>
      <c r="HR25" s="92"/>
      <c r="HS25" s="92"/>
      <c r="HT25" s="92"/>
      <c r="HU25" s="92"/>
      <c r="HV25" s="92"/>
      <c r="HW25" s="92"/>
      <c r="HX25" s="92"/>
      <c r="HY25" s="92"/>
      <c r="HZ25" s="92"/>
      <c r="IA25" s="92"/>
      <c r="IB25" s="92"/>
      <c r="IC25" s="92"/>
      <c r="ID25" s="92"/>
      <c r="IE25" s="92"/>
      <c r="IF25" s="92"/>
      <c r="IG25" s="92"/>
      <c r="IH25" s="92"/>
      <c r="II25" s="92"/>
      <c r="IJ25" s="92"/>
      <c r="IK25" s="92"/>
      <c r="IL25" s="92"/>
      <c r="IM25" s="92"/>
      <c r="IN25" s="92"/>
      <c r="IO25" s="92"/>
      <c r="IP25" s="92"/>
      <c r="IQ25" s="92"/>
      <c r="IR25" s="92"/>
      <c r="IS25" s="92"/>
      <c r="IT25" s="92"/>
      <c r="IU25" s="92"/>
      <c r="IV25" s="92"/>
    </row>
    <row r="26" spans="1:256" s="87" customFormat="1" ht="34.5">
      <c r="A26" s="109"/>
      <c r="B26" s="110" t="s">
        <v>47</v>
      </c>
      <c r="C26" s="111"/>
      <c r="D26" s="107">
        <v>7957000</v>
      </c>
      <c r="E26" s="107">
        <v>7957000</v>
      </c>
      <c r="F26" s="112">
        <f>1232434.2+1169970.98+652933.05+615063.12+700644.43+625817.64+666654.14+633783.57+616990.86+674414.22+657694.94+671974.64</f>
        <v>8918375.79</v>
      </c>
      <c r="G26" s="113">
        <v>671974.64</v>
      </c>
      <c r="FF26" s="83"/>
      <c r="FG26" s="83"/>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c r="IR26" s="92"/>
      <c r="IS26" s="92"/>
      <c r="IT26" s="92"/>
      <c r="IU26" s="92"/>
      <c r="IV26" s="92"/>
    </row>
    <row r="27" spans="1:256" s="87" customFormat="1" ht="17.25">
      <c r="A27" s="105" t="s">
        <v>48</v>
      </c>
      <c r="B27" s="106" t="s">
        <v>49</v>
      </c>
      <c r="C27" s="107">
        <f>C28+C34+C50+C35+C36+C37+C38+C39+C40+C41+C42+C43+C44+C45+C46+C47+C48+C49</f>
        <v>0</v>
      </c>
      <c r="D27" s="107">
        <f>D28+D34+D50+D35+D36+D37+D38+D39+D40+D41+D42+D43+D44+D45+D46+D47+D48+D49</f>
        <v>149977730</v>
      </c>
      <c r="E27" s="107">
        <f>E28+E34+E50+E35+E36+E37+E38+E39+E40+E41+E42+E43+E44+E45+E46+E47+E48+E49</f>
        <v>149977710</v>
      </c>
      <c r="F27" s="108">
        <f>F28+F34+F50+F35+F36+F37+F38+F39+F40+F41+F42+F43+F44+F45+F46+F47+F48+F49</f>
        <v>172167331.1</v>
      </c>
      <c r="G27" s="108">
        <f>G28+G34+G50+G35+G36+G37+G38+G39+G40+G41+G42+G43+G44+G45+G46+G47+G48+G49</f>
        <v>15915042.6</v>
      </c>
      <c r="FF27" s="83"/>
      <c r="FG27" s="83"/>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c r="GL27" s="92"/>
      <c r="GM27" s="92"/>
      <c r="GN27" s="92"/>
      <c r="GO27" s="92"/>
      <c r="GP27" s="92"/>
      <c r="GQ27" s="92"/>
      <c r="GR27" s="92"/>
      <c r="GS27" s="92"/>
      <c r="GT27" s="92"/>
      <c r="GU27" s="92"/>
      <c r="GV27" s="92"/>
      <c r="GW27" s="92"/>
      <c r="GX27" s="92"/>
      <c r="GY27" s="92"/>
      <c r="GZ27" s="92"/>
      <c r="HA27" s="92"/>
      <c r="HB27" s="92"/>
      <c r="HC27" s="92"/>
      <c r="HD27" s="92"/>
      <c r="HE27" s="92"/>
      <c r="HF27" s="92"/>
      <c r="HG27" s="92"/>
      <c r="HH27" s="92"/>
      <c r="HI27" s="92"/>
      <c r="HJ27" s="92"/>
      <c r="HK27" s="92"/>
      <c r="HL27" s="92"/>
      <c r="HM27" s="92"/>
      <c r="HN27" s="92"/>
      <c r="HO27" s="92"/>
      <c r="HP27" s="92"/>
      <c r="HQ27" s="92"/>
      <c r="HR27" s="92"/>
      <c r="HS27" s="92"/>
      <c r="HT27" s="92"/>
      <c r="HU27" s="92"/>
      <c r="HV27" s="92"/>
      <c r="HW27" s="92"/>
      <c r="HX27" s="92"/>
      <c r="HY27" s="92"/>
      <c r="HZ27" s="92"/>
      <c r="IA27" s="92"/>
      <c r="IB27" s="92"/>
      <c r="IC27" s="92"/>
      <c r="ID27" s="92"/>
      <c r="IE27" s="92"/>
      <c r="IF27" s="92"/>
      <c r="IG27" s="92"/>
      <c r="IH27" s="92"/>
      <c r="II27" s="92"/>
      <c r="IJ27" s="92"/>
      <c r="IK27" s="92"/>
      <c r="IL27" s="92"/>
      <c r="IM27" s="92"/>
      <c r="IN27" s="92"/>
      <c r="IO27" s="92"/>
      <c r="IP27" s="92"/>
      <c r="IQ27" s="92"/>
      <c r="IR27" s="92"/>
      <c r="IS27" s="92"/>
      <c r="IT27" s="92"/>
      <c r="IU27" s="92"/>
      <c r="IV27" s="92"/>
    </row>
    <row r="28" spans="1:256" s="87" customFormat="1" ht="34.5">
      <c r="A28" s="105" t="s">
        <v>50</v>
      </c>
      <c r="B28" s="106" t="s">
        <v>51</v>
      </c>
      <c r="C28" s="107">
        <f>C29+C30+C31+C32+C33</f>
        <v>0</v>
      </c>
      <c r="D28" s="107">
        <f>D29+D30+D31+D32+D33</f>
        <v>144512020</v>
      </c>
      <c r="E28" s="107">
        <f>E29+E30+E31+E32+E33</f>
        <v>144512000</v>
      </c>
      <c r="F28" s="108">
        <f>F29+F30+F31+F32+F33</f>
        <v>164071493.4</v>
      </c>
      <c r="G28" s="108">
        <f>G29+G30+G31+G32+G33</f>
        <v>14684611</v>
      </c>
      <c r="FF28" s="83"/>
      <c r="FG28" s="83"/>
      <c r="FH28" s="92"/>
      <c r="FI28" s="92"/>
      <c r="FJ28" s="92"/>
      <c r="FK28" s="92"/>
      <c r="FL28" s="92"/>
      <c r="FM28" s="92"/>
      <c r="FN28" s="92"/>
      <c r="FO28" s="92"/>
      <c r="FP28" s="92"/>
      <c r="FQ28" s="92"/>
      <c r="FR28" s="92"/>
      <c r="FS28" s="92"/>
      <c r="FT28" s="92"/>
      <c r="FU28" s="92"/>
      <c r="FV28" s="92"/>
      <c r="FW28" s="92"/>
      <c r="FX28" s="92"/>
      <c r="FY28" s="92"/>
      <c r="FZ28" s="92"/>
      <c r="GA28" s="92"/>
      <c r="GB28" s="92"/>
      <c r="GC28" s="92"/>
      <c r="GD28" s="92"/>
      <c r="GE28" s="92"/>
      <c r="GF28" s="92"/>
      <c r="GG28" s="92"/>
      <c r="GH28" s="92"/>
      <c r="GI28" s="92"/>
      <c r="GJ28" s="92"/>
      <c r="GK28" s="92"/>
      <c r="GL28" s="92"/>
      <c r="GM28" s="92"/>
      <c r="GN28" s="92"/>
      <c r="GO28" s="92"/>
      <c r="GP28" s="92"/>
      <c r="GQ28" s="92"/>
      <c r="GR28" s="92"/>
      <c r="GS28" s="92"/>
      <c r="GT28" s="92"/>
      <c r="GU28" s="92"/>
      <c r="GV28" s="92"/>
      <c r="GW28" s="92"/>
      <c r="GX28" s="92"/>
      <c r="GY28" s="92"/>
      <c r="GZ28" s="92"/>
      <c r="HA28" s="92"/>
      <c r="HB28" s="92"/>
      <c r="HC28" s="92"/>
      <c r="HD28" s="92"/>
      <c r="HE28" s="92"/>
      <c r="HF28" s="92"/>
      <c r="HG28" s="92"/>
      <c r="HH28" s="92"/>
      <c r="HI28" s="92"/>
      <c r="HJ28" s="92"/>
      <c r="HK28" s="92"/>
      <c r="HL28" s="92"/>
      <c r="HM28" s="92"/>
      <c r="HN28" s="92"/>
      <c r="HO28" s="92"/>
      <c r="HP28" s="92"/>
      <c r="HQ28" s="92"/>
      <c r="HR28" s="92"/>
      <c r="HS28" s="92"/>
      <c r="HT28" s="92"/>
      <c r="HU28" s="92"/>
      <c r="HV28" s="92"/>
      <c r="HW28" s="92"/>
      <c r="HX28" s="92"/>
      <c r="HY28" s="92"/>
      <c r="HZ28" s="92"/>
      <c r="IA28" s="92"/>
      <c r="IB28" s="92"/>
      <c r="IC28" s="92"/>
      <c r="ID28" s="92"/>
      <c r="IE28" s="92"/>
      <c r="IF28" s="92"/>
      <c r="IG28" s="92"/>
      <c r="IH28" s="92"/>
      <c r="II28" s="92"/>
      <c r="IJ28" s="92"/>
      <c r="IK28" s="92"/>
      <c r="IL28" s="92"/>
      <c r="IM28" s="92"/>
      <c r="IN28" s="92"/>
      <c r="IO28" s="92"/>
      <c r="IP28" s="92"/>
      <c r="IQ28" s="92"/>
      <c r="IR28" s="92"/>
      <c r="IS28" s="92"/>
      <c r="IT28" s="92"/>
      <c r="IU28" s="92"/>
      <c r="IV28" s="92"/>
    </row>
    <row r="29" spans="1:256" s="87" customFormat="1" ht="34.5">
      <c r="A29" s="109" t="s">
        <v>52</v>
      </c>
      <c r="B29" s="110" t="s">
        <v>53</v>
      </c>
      <c r="C29" s="111"/>
      <c r="D29" s="107">
        <v>144512020</v>
      </c>
      <c r="E29" s="107">
        <v>144512000</v>
      </c>
      <c r="F29" s="113">
        <f>14554659+12243053+13698711+12880236+15321581+12952632+14903732+13125661+12623070+15209188+13633918+14584120</f>
        <v>165730561</v>
      </c>
      <c r="G29" s="113">
        <v>14584120</v>
      </c>
      <c r="FF29" s="83"/>
      <c r="FG29" s="83"/>
      <c r="FH29" s="92"/>
      <c r="FI29" s="92"/>
      <c r="FJ29" s="92"/>
      <c r="FK29" s="92"/>
      <c r="FL29" s="92"/>
      <c r="FM29" s="92"/>
      <c r="FN29" s="92"/>
      <c r="FO29" s="92"/>
      <c r="FP29" s="92"/>
      <c r="FQ29" s="92"/>
      <c r="FR29" s="92"/>
      <c r="FS29" s="92"/>
      <c r="FT29" s="92"/>
      <c r="FU29" s="92"/>
      <c r="FV29" s="92"/>
      <c r="FW29" s="92"/>
      <c r="FX29" s="92"/>
      <c r="FY29" s="92"/>
      <c r="FZ29" s="92"/>
      <c r="GA29" s="92"/>
      <c r="GB29" s="92"/>
      <c r="GC29" s="92"/>
      <c r="GD29" s="92"/>
      <c r="GE29" s="92"/>
      <c r="GF29" s="92"/>
      <c r="GG29" s="92"/>
      <c r="GH29" s="92"/>
      <c r="GI29" s="92"/>
      <c r="GJ29" s="92"/>
      <c r="GK29" s="92"/>
      <c r="GL29" s="92"/>
      <c r="GM29" s="92"/>
      <c r="GN29" s="92"/>
      <c r="GO29" s="92"/>
      <c r="GP29" s="92"/>
      <c r="GQ29" s="92"/>
      <c r="GR29" s="92"/>
      <c r="GS29" s="92"/>
      <c r="GT29" s="92"/>
      <c r="GU29" s="92"/>
      <c r="GV29" s="92"/>
      <c r="GW29" s="92"/>
      <c r="GX29" s="92"/>
      <c r="GY29" s="92"/>
      <c r="GZ29" s="92"/>
      <c r="HA29" s="92"/>
      <c r="HB29" s="92"/>
      <c r="HC29" s="92"/>
      <c r="HD29" s="92"/>
      <c r="HE29" s="92"/>
      <c r="HF29" s="92"/>
      <c r="HG29" s="92"/>
      <c r="HH29" s="92"/>
      <c r="HI29" s="92"/>
      <c r="HJ29" s="92"/>
      <c r="HK29" s="92"/>
      <c r="HL29" s="92"/>
      <c r="HM29" s="92"/>
      <c r="HN29" s="92"/>
      <c r="HO29" s="92"/>
      <c r="HP29" s="92"/>
      <c r="HQ29" s="92"/>
      <c r="HR29" s="92"/>
      <c r="HS29" s="92"/>
      <c r="HT29" s="92"/>
      <c r="HU29" s="92"/>
      <c r="HV29" s="92"/>
      <c r="HW29" s="92"/>
      <c r="HX29" s="92"/>
      <c r="HY29" s="92"/>
      <c r="HZ29" s="92"/>
      <c r="IA29" s="92"/>
      <c r="IB29" s="92"/>
      <c r="IC29" s="92"/>
      <c r="ID29" s="92"/>
      <c r="IE29" s="92"/>
      <c r="IF29" s="92"/>
      <c r="IG29" s="92"/>
      <c r="IH29" s="92"/>
      <c r="II29" s="92"/>
      <c r="IJ29" s="92"/>
      <c r="IK29" s="92"/>
      <c r="IL29" s="92"/>
      <c r="IM29" s="92"/>
      <c r="IN29" s="92"/>
      <c r="IO29" s="92"/>
      <c r="IP29" s="92"/>
      <c r="IQ29" s="92"/>
      <c r="IR29" s="92"/>
      <c r="IS29" s="92"/>
      <c r="IT29" s="92"/>
      <c r="IU29" s="92"/>
      <c r="IV29" s="92"/>
    </row>
    <row r="30" spans="1:256" s="87" customFormat="1" ht="69">
      <c r="A30" s="109" t="s">
        <v>54</v>
      </c>
      <c r="B30" s="110" t="s">
        <v>55</v>
      </c>
      <c r="C30" s="111"/>
      <c r="D30" s="107"/>
      <c r="E30" s="107"/>
      <c r="F30" s="113">
        <f>-78466-99687+36251+35673+33835-584820-730790-485297-30962+28286+48763.4+96946</f>
        <v>-1730267.6</v>
      </c>
      <c r="G30" s="113">
        <v>96946</v>
      </c>
      <c r="FF30" s="83"/>
      <c r="FG30" s="83"/>
      <c r="FH30" s="92"/>
      <c r="FI30" s="92"/>
      <c r="FJ30" s="92"/>
      <c r="FK30" s="92"/>
      <c r="FL30" s="92"/>
      <c r="FM30" s="92"/>
      <c r="FN30" s="92"/>
      <c r="FO30" s="92"/>
      <c r="FP30" s="92"/>
      <c r="FQ30" s="92"/>
      <c r="FR30" s="92"/>
      <c r="FS30" s="92"/>
      <c r="FT30" s="92"/>
      <c r="FU30" s="92"/>
      <c r="FV30" s="92"/>
      <c r="FW30" s="92"/>
      <c r="FX30" s="92"/>
      <c r="FY30" s="92"/>
      <c r="FZ30" s="92"/>
      <c r="GA30" s="92"/>
      <c r="GB30" s="92"/>
      <c r="GC30" s="92"/>
      <c r="GD30" s="92"/>
      <c r="GE30" s="92"/>
      <c r="GF30" s="92"/>
      <c r="GG30" s="92"/>
      <c r="GH30" s="92"/>
      <c r="GI30" s="92"/>
      <c r="GJ30" s="92"/>
      <c r="GK30" s="92"/>
      <c r="GL30" s="92"/>
      <c r="GM30" s="92"/>
      <c r="GN30" s="92"/>
      <c r="GO30" s="92"/>
      <c r="GP30" s="92"/>
      <c r="GQ30" s="92"/>
      <c r="GR30" s="92"/>
      <c r="GS30" s="92"/>
      <c r="GT30" s="92"/>
      <c r="GU30" s="92"/>
      <c r="GV30" s="92"/>
      <c r="GW30" s="92"/>
      <c r="GX30" s="92"/>
      <c r="GY30" s="92"/>
      <c r="GZ30" s="92"/>
      <c r="HA30" s="92"/>
      <c r="HB30" s="92"/>
      <c r="HC30" s="92"/>
      <c r="HD30" s="92"/>
      <c r="HE30" s="92"/>
      <c r="HF30" s="92"/>
      <c r="HG30" s="92"/>
      <c r="HH30" s="92"/>
      <c r="HI30" s="92"/>
      <c r="HJ30" s="92"/>
      <c r="HK30" s="92"/>
      <c r="HL30" s="92"/>
      <c r="HM30" s="92"/>
      <c r="HN30" s="92"/>
      <c r="HO30" s="92"/>
      <c r="HP30" s="92"/>
      <c r="HQ30" s="92"/>
      <c r="HR30" s="92"/>
      <c r="HS30" s="92"/>
      <c r="HT30" s="92"/>
      <c r="HU30" s="92"/>
      <c r="HV30" s="92"/>
      <c r="HW30" s="92"/>
      <c r="HX30" s="92"/>
      <c r="HY30" s="92"/>
      <c r="HZ30" s="92"/>
      <c r="IA30" s="92"/>
      <c r="IB30" s="92"/>
      <c r="IC30" s="92"/>
      <c r="ID30" s="92"/>
      <c r="IE30" s="92"/>
      <c r="IF30" s="92"/>
      <c r="IG30" s="92"/>
      <c r="IH30" s="92"/>
      <c r="II30" s="92"/>
      <c r="IJ30" s="92"/>
      <c r="IK30" s="92"/>
      <c r="IL30" s="92"/>
      <c r="IM30" s="92"/>
      <c r="IN30" s="92"/>
      <c r="IO30" s="92"/>
      <c r="IP30" s="92"/>
      <c r="IQ30" s="92"/>
      <c r="IR30" s="92"/>
      <c r="IS30" s="92"/>
      <c r="IT30" s="92"/>
      <c r="IU30" s="92"/>
      <c r="IV30" s="92"/>
    </row>
    <row r="31" spans="1:256" s="87" customFormat="1" ht="34.5">
      <c r="A31" s="109" t="s">
        <v>56</v>
      </c>
      <c r="B31" s="110" t="s">
        <v>57</v>
      </c>
      <c r="C31" s="111"/>
      <c r="D31" s="107"/>
      <c r="E31" s="107"/>
      <c r="F31" s="113"/>
      <c r="G31" s="113"/>
      <c r="FF31" s="83"/>
      <c r="FG31" s="83"/>
      <c r="FH31" s="92"/>
      <c r="FI31" s="92"/>
      <c r="FJ31" s="92"/>
      <c r="FK31" s="92"/>
      <c r="FL31" s="92"/>
      <c r="FM31" s="92"/>
      <c r="FN31" s="92"/>
      <c r="FO31" s="92"/>
      <c r="FP31" s="92"/>
      <c r="FQ31" s="92"/>
      <c r="FR31" s="92"/>
      <c r="FS31" s="92"/>
      <c r="FT31" s="92"/>
      <c r="FU31" s="92"/>
      <c r="FV31" s="92"/>
      <c r="FW31" s="92"/>
      <c r="FX31" s="92"/>
      <c r="FY31" s="92"/>
      <c r="FZ31" s="92"/>
      <c r="GA31" s="92"/>
      <c r="GB31" s="92"/>
      <c r="GC31" s="92"/>
      <c r="GD31" s="92"/>
      <c r="GE31" s="92"/>
      <c r="GF31" s="92"/>
      <c r="GG31" s="92"/>
      <c r="GH31" s="92"/>
      <c r="GI31" s="92"/>
      <c r="GJ31" s="92"/>
      <c r="GK31" s="92"/>
      <c r="GL31" s="92"/>
      <c r="GM31" s="92"/>
      <c r="GN31" s="92"/>
      <c r="GO31" s="92"/>
      <c r="GP31" s="92"/>
      <c r="GQ31" s="92"/>
      <c r="GR31" s="92"/>
      <c r="GS31" s="92"/>
      <c r="GT31" s="92"/>
      <c r="GU31" s="92"/>
      <c r="GV31" s="92"/>
      <c r="GW31" s="92"/>
      <c r="GX31" s="92"/>
      <c r="GY31" s="92"/>
      <c r="GZ31" s="92"/>
      <c r="HA31" s="92"/>
      <c r="HB31" s="92"/>
      <c r="HC31" s="92"/>
      <c r="HD31" s="92"/>
      <c r="HE31" s="92"/>
      <c r="HF31" s="92"/>
      <c r="HG31" s="92"/>
      <c r="HH31" s="92"/>
      <c r="HI31" s="92"/>
      <c r="HJ31" s="92"/>
      <c r="HK31" s="92"/>
      <c r="HL31" s="92"/>
      <c r="HM31" s="92"/>
      <c r="HN31" s="92"/>
      <c r="HO31" s="92"/>
      <c r="HP31" s="92"/>
      <c r="HQ31" s="92"/>
      <c r="HR31" s="92"/>
      <c r="HS31" s="92"/>
      <c r="HT31" s="92"/>
      <c r="HU31" s="92"/>
      <c r="HV31" s="92"/>
      <c r="HW31" s="92"/>
      <c r="HX31" s="92"/>
      <c r="HY31" s="92"/>
      <c r="HZ31" s="92"/>
      <c r="IA31" s="92"/>
      <c r="IB31" s="92"/>
      <c r="IC31" s="92"/>
      <c r="ID31" s="92"/>
      <c r="IE31" s="92"/>
      <c r="IF31" s="92"/>
      <c r="IG31" s="92"/>
      <c r="IH31" s="92"/>
      <c r="II31" s="92"/>
      <c r="IJ31" s="92"/>
      <c r="IK31" s="92"/>
      <c r="IL31" s="92"/>
      <c r="IM31" s="92"/>
      <c r="IN31" s="92"/>
      <c r="IO31" s="92"/>
      <c r="IP31" s="92"/>
      <c r="IQ31" s="92"/>
      <c r="IR31" s="92"/>
      <c r="IS31" s="92"/>
      <c r="IT31" s="92"/>
      <c r="IU31" s="92"/>
      <c r="IV31" s="92"/>
    </row>
    <row r="32" spans="1:256" s="87" customFormat="1" ht="17.25">
      <c r="A32" s="109" t="s">
        <v>58</v>
      </c>
      <c r="B32" s="110" t="s">
        <v>59</v>
      </c>
      <c r="C32" s="111"/>
      <c r="D32" s="107"/>
      <c r="E32" s="107"/>
      <c r="F32" s="113">
        <f>2074+2654+4642+2427+35028+3308+2422+7161+2831+2484+2624+3545</f>
        <v>71200</v>
      </c>
      <c r="G32" s="113">
        <v>3545</v>
      </c>
      <c r="FF32" s="83"/>
      <c r="FG32" s="83"/>
      <c r="FH32" s="92"/>
      <c r="FI32" s="92"/>
      <c r="FJ32" s="92"/>
      <c r="FK32" s="92"/>
      <c r="FL32" s="92"/>
      <c r="FM32" s="92"/>
      <c r="FN32" s="92"/>
      <c r="FO32" s="92"/>
      <c r="FP32" s="92"/>
      <c r="FQ32" s="92"/>
      <c r="FR32" s="92"/>
      <c r="FS32" s="92"/>
      <c r="FT32" s="92"/>
      <c r="FU32" s="92"/>
      <c r="FV32" s="92"/>
      <c r="FW32" s="92"/>
      <c r="FX32" s="92"/>
      <c r="FY32" s="92"/>
      <c r="FZ32" s="92"/>
      <c r="GA32" s="92"/>
      <c r="GB32" s="92"/>
      <c r="GC32" s="92"/>
      <c r="GD32" s="92"/>
      <c r="GE32" s="92"/>
      <c r="GF32" s="92"/>
      <c r="GG32" s="92"/>
      <c r="GH32" s="92"/>
      <c r="GI32" s="92"/>
      <c r="GJ32" s="92"/>
      <c r="GK32" s="92"/>
      <c r="GL32" s="92"/>
      <c r="GM32" s="92"/>
      <c r="GN32" s="92"/>
      <c r="GO32" s="92"/>
      <c r="GP32" s="92"/>
      <c r="GQ32" s="92"/>
      <c r="GR32" s="92"/>
      <c r="GS32" s="92"/>
      <c r="GT32" s="92"/>
      <c r="GU32" s="92"/>
      <c r="GV32" s="92"/>
      <c r="GW32" s="92"/>
      <c r="GX32" s="92"/>
      <c r="GY32" s="92"/>
      <c r="GZ32" s="92"/>
      <c r="HA32" s="92"/>
      <c r="HB32" s="92"/>
      <c r="HC32" s="92"/>
      <c r="HD32" s="92"/>
      <c r="HE32" s="92"/>
      <c r="HF32" s="92"/>
      <c r="HG32" s="92"/>
      <c r="HH32" s="92"/>
      <c r="HI32" s="92"/>
      <c r="HJ32" s="92"/>
      <c r="HK32" s="92"/>
      <c r="HL32" s="92"/>
      <c r="HM32" s="92"/>
      <c r="HN32" s="92"/>
      <c r="HO32" s="92"/>
      <c r="HP32" s="92"/>
      <c r="HQ32" s="92"/>
      <c r="HR32" s="92"/>
      <c r="HS32" s="92"/>
      <c r="HT32" s="92"/>
      <c r="HU32" s="92"/>
      <c r="HV32" s="92"/>
      <c r="HW32" s="92"/>
      <c r="HX32" s="92"/>
      <c r="HY32" s="92"/>
      <c r="HZ32" s="92"/>
      <c r="IA32" s="92"/>
      <c r="IB32" s="92"/>
      <c r="IC32" s="92"/>
      <c r="ID32" s="92"/>
      <c r="IE32" s="92"/>
      <c r="IF32" s="92"/>
      <c r="IG32" s="92"/>
      <c r="IH32" s="92"/>
      <c r="II32" s="92"/>
      <c r="IJ32" s="92"/>
      <c r="IK32" s="92"/>
      <c r="IL32" s="92"/>
      <c r="IM32" s="92"/>
      <c r="IN32" s="92"/>
      <c r="IO32" s="92"/>
      <c r="IP32" s="92"/>
      <c r="IQ32" s="92"/>
      <c r="IR32" s="92"/>
      <c r="IS32" s="92"/>
      <c r="IT32" s="92"/>
      <c r="IU32" s="92"/>
      <c r="IV32" s="92"/>
    </row>
    <row r="33" spans="1:256" s="87" customFormat="1" ht="17.25">
      <c r="A33" s="109" t="s">
        <v>60</v>
      </c>
      <c r="B33" s="110" t="s">
        <v>61</v>
      </c>
      <c r="C33" s="111"/>
      <c r="D33" s="107"/>
      <c r="E33" s="107"/>
      <c r="F33" s="113"/>
      <c r="G33" s="113"/>
      <c r="FF33" s="83"/>
      <c r="FG33" s="83"/>
      <c r="FH33" s="92"/>
      <c r="FI33" s="92"/>
      <c r="FJ33" s="92"/>
      <c r="FK33" s="92"/>
      <c r="FL33" s="92"/>
      <c r="FM33" s="92"/>
      <c r="FN33" s="92"/>
      <c r="FO33" s="92"/>
      <c r="FP33" s="92"/>
      <c r="FQ33" s="92"/>
      <c r="FR33" s="92"/>
      <c r="FS33" s="92"/>
      <c r="FT33" s="92"/>
      <c r="FU33" s="92"/>
      <c r="FV33" s="92"/>
      <c r="FW33" s="92"/>
      <c r="FX33" s="92"/>
      <c r="FY33" s="92"/>
      <c r="FZ33" s="92"/>
      <c r="GA33" s="92"/>
      <c r="GB33" s="92"/>
      <c r="GC33" s="92"/>
      <c r="GD33" s="92"/>
      <c r="GE33" s="92"/>
      <c r="GF33" s="92"/>
      <c r="GG33" s="92"/>
      <c r="GH33" s="92"/>
      <c r="GI33" s="92"/>
      <c r="GJ33" s="92"/>
      <c r="GK33" s="92"/>
      <c r="GL33" s="92"/>
      <c r="GM33" s="92"/>
      <c r="GN33" s="92"/>
      <c r="GO33" s="92"/>
      <c r="GP33" s="92"/>
      <c r="GQ33" s="92"/>
      <c r="GR33" s="92"/>
      <c r="GS33" s="92"/>
      <c r="GT33" s="92"/>
      <c r="GU33" s="92"/>
      <c r="GV33" s="92"/>
      <c r="GW33" s="92"/>
      <c r="GX33" s="92"/>
      <c r="GY33" s="92"/>
      <c r="GZ33" s="92"/>
      <c r="HA33" s="92"/>
      <c r="HB33" s="92"/>
      <c r="HC33" s="92"/>
      <c r="HD33" s="92"/>
      <c r="HE33" s="92"/>
      <c r="HF33" s="92"/>
      <c r="HG33" s="92"/>
      <c r="HH33" s="92"/>
      <c r="HI33" s="92"/>
      <c r="HJ33" s="92"/>
      <c r="HK33" s="92"/>
      <c r="HL33" s="92"/>
      <c r="HM33" s="92"/>
      <c r="HN33" s="92"/>
      <c r="HO33" s="92"/>
      <c r="HP33" s="92"/>
      <c r="HQ33" s="92"/>
      <c r="HR33" s="92"/>
      <c r="HS33" s="92"/>
      <c r="HT33" s="92"/>
      <c r="HU33" s="92"/>
      <c r="HV33" s="92"/>
      <c r="HW33" s="92"/>
      <c r="HX33" s="92"/>
      <c r="HY33" s="92"/>
      <c r="HZ33" s="92"/>
      <c r="IA33" s="92"/>
      <c r="IB33" s="92"/>
      <c r="IC33" s="92"/>
      <c r="ID33" s="92"/>
      <c r="IE33" s="92"/>
      <c r="IF33" s="92"/>
      <c r="IG33" s="92"/>
      <c r="IH33" s="92"/>
      <c r="II33" s="92"/>
      <c r="IJ33" s="92"/>
      <c r="IK33" s="92"/>
      <c r="IL33" s="92"/>
      <c r="IM33" s="92"/>
      <c r="IN33" s="92"/>
      <c r="IO33" s="92"/>
      <c r="IP33" s="92"/>
      <c r="IQ33" s="92"/>
      <c r="IR33" s="92"/>
      <c r="IS33" s="92"/>
      <c r="IT33" s="92"/>
      <c r="IU33" s="92"/>
      <c r="IV33" s="92"/>
    </row>
    <row r="34" spans="1:256" s="87" customFormat="1" ht="17.25">
      <c r="A34" s="109" t="s">
        <v>62</v>
      </c>
      <c r="B34" s="110" t="s">
        <v>63</v>
      </c>
      <c r="C34" s="111"/>
      <c r="D34" s="107"/>
      <c r="E34" s="107"/>
      <c r="F34" s="113"/>
      <c r="G34" s="113"/>
      <c r="FF34" s="83"/>
      <c r="FG34" s="83"/>
      <c r="FH34" s="92"/>
      <c r="FI34" s="92"/>
      <c r="FJ34" s="92"/>
      <c r="FK34" s="92"/>
      <c r="FL34" s="92"/>
      <c r="FM34" s="92"/>
      <c r="FN34" s="92"/>
      <c r="FO34" s="92"/>
      <c r="FP34" s="92"/>
      <c r="FQ34" s="92"/>
      <c r="FR34" s="92"/>
      <c r="FS34" s="92"/>
      <c r="FT34" s="92"/>
      <c r="FU34" s="92"/>
      <c r="FV34" s="92"/>
      <c r="FW34" s="92"/>
      <c r="FX34" s="92"/>
      <c r="FY34" s="92"/>
      <c r="FZ34" s="92"/>
      <c r="GA34" s="92"/>
      <c r="GB34" s="92"/>
      <c r="GC34" s="92"/>
      <c r="GD34" s="92"/>
      <c r="GE34" s="92"/>
      <c r="GF34" s="92"/>
      <c r="GG34" s="92"/>
      <c r="GH34" s="92"/>
      <c r="GI34" s="92"/>
      <c r="GJ34" s="92"/>
      <c r="GK34" s="92"/>
      <c r="GL34" s="92"/>
      <c r="GM34" s="92"/>
      <c r="GN34" s="92"/>
      <c r="GO34" s="92"/>
      <c r="GP34" s="92"/>
      <c r="GQ34" s="92"/>
      <c r="GR34" s="92"/>
      <c r="GS34" s="92"/>
      <c r="GT34" s="92"/>
      <c r="GU34" s="92"/>
      <c r="GV34" s="92"/>
      <c r="GW34" s="92"/>
      <c r="GX34" s="92"/>
      <c r="GY34" s="92"/>
      <c r="GZ34" s="92"/>
      <c r="HA34" s="92"/>
      <c r="HB34" s="92"/>
      <c r="HC34" s="92"/>
      <c r="HD34" s="92"/>
      <c r="HE34" s="92"/>
      <c r="HF34" s="92"/>
      <c r="HG34" s="92"/>
      <c r="HH34" s="92"/>
      <c r="HI34" s="92"/>
      <c r="HJ34" s="92"/>
      <c r="HK34" s="92"/>
      <c r="HL34" s="92"/>
      <c r="HM34" s="92"/>
      <c r="HN34" s="92"/>
      <c r="HO34" s="92"/>
      <c r="HP34" s="92"/>
      <c r="HQ34" s="92"/>
      <c r="HR34" s="92"/>
      <c r="HS34" s="92"/>
      <c r="HT34" s="92"/>
      <c r="HU34" s="92"/>
      <c r="HV34" s="92"/>
      <c r="HW34" s="92"/>
      <c r="HX34" s="92"/>
      <c r="HY34" s="92"/>
      <c r="HZ34" s="92"/>
      <c r="IA34" s="92"/>
      <c r="IB34" s="92"/>
      <c r="IC34" s="92"/>
      <c r="ID34" s="92"/>
      <c r="IE34" s="92"/>
      <c r="IF34" s="92"/>
      <c r="IG34" s="92"/>
      <c r="IH34" s="92"/>
      <c r="II34" s="92"/>
      <c r="IJ34" s="92"/>
      <c r="IK34" s="92"/>
      <c r="IL34" s="92"/>
      <c r="IM34" s="92"/>
      <c r="IN34" s="92"/>
      <c r="IO34" s="92"/>
      <c r="IP34" s="92"/>
      <c r="IQ34" s="92"/>
      <c r="IR34" s="92"/>
      <c r="IS34" s="92"/>
      <c r="IT34" s="92"/>
      <c r="IU34" s="92"/>
      <c r="IV34" s="92"/>
    </row>
    <row r="35" spans="1:256" s="87" customFormat="1" ht="51.75">
      <c r="A35" s="109" t="s">
        <v>64</v>
      </c>
      <c r="B35" s="114" t="s">
        <v>65</v>
      </c>
      <c r="C35" s="111"/>
      <c r="D35" s="107"/>
      <c r="E35" s="107"/>
      <c r="F35" s="113"/>
      <c r="G35" s="113"/>
      <c r="FF35" s="83"/>
      <c r="FG35" s="83"/>
      <c r="FH35" s="92"/>
      <c r="FI35" s="92"/>
      <c r="FJ35" s="92"/>
      <c r="FK35" s="92"/>
      <c r="FL35" s="92"/>
      <c r="FM35" s="92"/>
      <c r="FN35" s="92"/>
      <c r="FO35" s="92"/>
      <c r="FP35" s="92"/>
      <c r="FQ35" s="92"/>
      <c r="FR35" s="92"/>
      <c r="FS35" s="92"/>
      <c r="FT35" s="92"/>
      <c r="FU35" s="92"/>
      <c r="FV35" s="92"/>
      <c r="FW35" s="92"/>
      <c r="FX35" s="92"/>
      <c r="FY35" s="92"/>
      <c r="FZ35" s="92"/>
      <c r="GA35" s="92"/>
      <c r="GB35" s="92"/>
      <c r="GC35" s="92"/>
      <c r="GD35" s="92"/>
      <c r="GE35" s="92"/>
      <c r="GF35" s="92"/>
      <c r="GG35" s="92"/>
      <c r="GH35" s="92"/>
      <c r="GI35" s="92"/>
      <c r="GJ35" s="92"/>
      <c r="GK35" s="92"/>
      <c r="GL35" s="92"/>
      <c r="GM35" s="92"/>
      <c r="GN35" s="92"/>
      <c r="GO35" s="92"/>
      <c r="GP35" s="92"/>
      <c r="GQ35" s="92"/>
      <c r="GR35" s="92"/>
      <c r="GS35" s="92"/>
      <c r="GT35" s="92"/>
      <c r="GU35" s="92"/>
      <c r="GV35" s="92"/>
      <c r="GW35" s="92"/>
      <c r="GX35" s="92"/>
      <c r="GY35" s="92"/>
      <c r="GZ35" s="92"/>
      <c r="HA35" s="92"/>
      <c r="HB35" s="92"/>
      <c r="HC35" s="92"/>
      <c r="HD35" s="92"/>
      <c r="HE35" s="92"/>
      <c r="HF35" s="92"/>
      <c r="HG35" s="92"/>
      <c r="HH35" s="92"/>
      <c r="HI35" s="92"/>
      <c r="HJ35" s="92"/>
      <c r="HK35" s="92"/>
      <c r="HL35" s="92"/>
      <c r="HM35" s="92"/>
      <c r="HN35" s="92"/>
      <c r="HO35" s="92"/>
      <c r="HP35" s="92"/>
      <c r="HQ35" s="92"/>
      <c r="HR35" s="92"/>
      <c r="HS35" s="92"/>
      <c r="HT35" s="92"/>
      <c r="HU35" s="92"/>
      <c r="HV35" s="92"/>
      <c r="HW35" s="92"/>
      <c r="HX35" s="92"/>
      <c r="HY35" s="92"/>
      <c r="HZ35" s="92"/>
      <c r="IA35" s="92"/>
      <c r="IB35" s="92"/>
      <c r="IC35" s="92"/>
      <c r="ID35" s="92"/>
      <c r="IE35" s="92"/>
      <c r="IF35" s="92"/>
      <c r="IG35" s="92"/>
      <c r="IH35" s="92"/>
      <c r="II35" s="92"/>
      <c r="IJ35" s="92"/>
      <c r="IK35" s="92"/>
      <c r="IL35" s="92"/>
      <c r="IM35" s="92"/>
      <c r="IN35" s="92"/>
      <c r="IO35" s="92"/>
      <c r="IP35" s="92"/>
      <c r="IQ35" s="92"/>
      <c r="IR35" s="92"/>
      <c r="IS35" s="92"/>
      <c r="IT35" s="92"/>
      <c r="IU35" s="92"/>
      <c r="IV35" s="92"/>
    </row>
    <row r="36" spans="1:256" s="87" customFormat="1" ht="51.75">
      <c r="A36" s="109" t="s">
        <v>66</v>
      </c>
      <c r="B36" s="110" t="s">
        <v>67</v>
      </c>
      <c r="C36" s="111"/>
      <c r="D36" s="107">
        <v>3000</v>
      </c>
      <c r="E36" s="107">
        <v>3000</v>
      </c>
      <c r="F36" s="113">
        <f>181+4+208+1+57+1307+775</f>
        <v>2533</v>
      </c>
      <c r="G36" s="113"/>
      <c r="FF36" s="83"/>
      <c r="FG36" s="83"/>
      <c r="FH36" s="92"/>
      <c r="FI36" s="92"/>
      <c r="FJ36" s="92"/>
      <c r="FK36" s="92"/>
      <c r="FL36" s="92"/>
      <c r="FM36" s="92"/>
      <c r="FN36" s="92"/>
      <c r="FO36" s="92"/>
      <c r="FP36" s="92"/>
      <c r="FQ36" s="92"/>
      <c r="FR36" s="92"/>
      <c r="FS36" s="92"/>
      <c r="FT36" s="92"/>
      <c r="FU36" s="92"/>
      <c r="FV36" s="92"/>
      <c r="FW36" s="92"/>
      <c r="FX36" s="92"/>
      <c r="FY36" s="92"/>
      <c r="FZ36" s="92"/>
      <c r="GA36" s="92"/>
      <c r="GB36" s="92"/>
      <c r="GC36" s="92"/>
      <c r="GD36" s="92"/>
      <c r="GE36" s="92"/>
      <c r="GF36" s="92"/>
      <c r="GG36" s="92"/>
      <c r="GH36" s="92"/>
      <c r="GI36" s="92"/>
      <c r="GJ36" s="92"/>
      <c r="GK36" s="92"/>
      <c r="GL36" s="92"/>
      <c r="GM36" s="92"/>
      <c r="GN36" s="92"/>
      <c r="GO36" s="92"/>
      <c r="GP36" s="92"/>
      <c r="GQ36" s="92"/>
      <c r="GR36" s="92"/>
      <c r="GS36" s="92"/>
      <c r="GT36" s="92"/>
      <c r="GU36" s="92"/>
      <c r="GV36" s="92"/>
      <c r="GW36" s="92"/>
      <c r="GX36" s="92"/>
      <c r="GY36" s="92"/>
      <c r="GZ36" s="92"/>
      <c r="HA36" s="92"/>
      <c r="HB36" s="92"/>
      <c r="HC36" s="92"/>
      <c r="HD36" s="92"/>
      <c r="HE36" s="92"/>
      <c r="HF36" s="92"/>
      <c r="HG36" s="92"/>
      <c r="HH36" s="92"/>
      <c r="HI36" s="92"/>
      <c r="HJ36" s="92"/>
      <c r="HK36" s="92"/>
      <c r="HL36" s="92"/>
      <c r="HM36" s="92"/>
      <c r="HN36" s="92"/>
      <c r="HO36" s="92"/>
      <c r="HP36" s="92"/>
      <c r="HQ36" s="92"/>
      <c r="HR36" s="92"/>
      <c r="HS36" s="92"/>
      <c r="HT36" s="92"/>
      <c r="HU36" s="92"/>
      <c r="HV36" s="92"/>
      <c r="HW36" s="92"/>
      <c r="HX36" s="92"/>
      <c r="HY36" s="92"/>
      <c r="HZ36" s="92"/>
      <c r="IA36" s="92"/>
      <c r="IB36" s="92"/>
      <c r="IC36" s="92"/>
      <c r="ID36" s="92"/>
      <c r="IE36" s="92"/>
      <c r="IF36" s="92"/>
      <c r="IG36" s="92"/>
      <c r="IH36" s="92"/>
      <c r="II36" s="92"/>
      <c r="IJ36" s="92"/>
      <c r="IK36" s="92"/>
      <c r="IL36" s="92"/>
      <c r="IM36" s="92"/>
      <c r="IN36" s="92"/>
      <c r="IO36" s="92"/>
      <c r="IP36" s="92"/>
      <c r="IQ36" s="92"/>
      <c r="IR36" s="92"/>
      <c r="IS36" s="92"/>
      <c r="IT36" s="92"/>
      <c r="IU36" s="92"/>
      <c r="IV36" s="92"/>
    </row>
    <row r="37" spans="1:256" s="87" customFormat="1" ht="87">
      <c r="A37" s="109" t="s">
        <v>68</v>
      </c>
      <c r="B37" s="110" t="s">
        <v>69</v>
      </c>
      <c r="C37" s="111"/>
      <c r="D37" s="107"/>
      <c r="E37" s="107"/>
      <c r="F37" s="113"/>
      <c r="G37" s="113"/>
      <c r="FF37" s="83"/>
      <c r="FG37" s="83"/>
      <c r="FH37" s="92"/>
      <c r="FI37" s="92"/>
      <c r="FJ37" s="92"/>
      <c r="FK37" s="92"/>
      <c r="FL37" s="92"/>
      <c r="FM37" s="92"/>
      <c r="FN37" s="92"/>
      <c r="FO37" s="92"/>
      <c r="FP37" s="92"/>
      <c r="FQ37" s="92"/>
      <c r="FR37" s="92"/>
      <c r="FS37" s="92"/>
      <c r="FT37" s="92"/>
      <c r="FU37" s="92"/>
      <c r="FV37" s="92"/>
      <c r="FW37" s="92"/>
      <c r="FX37" s="92"/>
      <c r="FY37" s="92"/>
      <c r="FZ37" s="92"/>
      <c r="GA37" s="92"/>
      <c r="GB37" s="92"/>
      <c r="GC37" s="92"/>
      <c r="GD37" s="92"/>
      <c r="GE37" s="92"/>
      <c r="GF37" s="92"/>
      <c r="GG37" s="92"/>
      <c r="GH37" s="92"/>
      <c r="GI37" s="92"/>
      <c r="GJ37" s="92"/>
      <c r="GK37" s="92"/>
      <c r="GL37" s="92"/>
      <c r="GM37" s="92"/>
      <c r="GN37" s="92"/>
      <c r="GO37" s="92"/>
      <c r="GP37" s="92"/>
      <c r="GQ37" s="92"/>
      <c r="GR37" s="92"/>
      <c r="GS37" s="92"/>
      <c r="GT37" s="92"/>
      <c r="GU37" s="92"/>
      <c r="GV37" s="92"/>
      <c r="GW37" s="92"/>
      <c r="GX37" s="92"/>
      <c r="GY37" s="92"/>
      <c r="GZ37" s="92"/>
      <c r="HA37" s="92"/>
      <c r="HB37" s="92"/>
      <c r="HC37" s="92"/>
      <c r="HD37" s="92"/>
      <c r="HE37" s="92"/>
      <c r="HF37" s="92"/>
      <c r="HG37" s="92"/>
      <c r="HH37" s="92"/>
      <c r="HI37" s="92"/>
      <c r="HJ37" s="92"/>
      <c r="HK37" s="92"/>
      <c r="HL37" s="92"/>
      <c r="HM37" s="92"/>
      <c r="HN37" s="92"/>
      <c r="HO37" s="92"/>
      <c r="HP37" s="92"/>
      <c r="HQ37" s="92"/>
      <c r="HR37" s="92"/>
      <c r="HS37" s="92"/>
      <c r="HT37" s="92"/>
      <c r="HU37" s="92"/>
      <c r="HV37" s="92"/>
      <c r="HW37" s="92"/>
      <c r="HX37" s="92"/>
      <c r="HY37" s="92"/>
      <c r="HZ37" s="92"/>
      <c r="IA37" s="92"/>
      <c r="IB37" s="92"/>
      <c r="IC37" s="92"/>
      <c r="ID37" s="92"/>
      <c r="IE37" s="92"/>
      <c r="IF37" s="92"/>
      <c r="IG37" s="92"/>
      <c r="IH37" s="92"/>
      <c r="II37" s="92"/>
      <c r="IJ37" s="92"/>
      <c r="IK37" s="92"/>
      <c r="IL37" s="92"/>
      <c r="IM37" s="92"/>
      <c r="IN37" s="92"/>
      <c r="IO37" s="92"/>
      <c r="IP37" s="92"/>
      <c r="IQ37" s="92"/>
      <c r="IR37" s="92"/>
      <c r="IS37" s="92"/>
      <c r="IT37" s="92"/>
      <c r="IU37" s="92"/>
      <c r="IV37" s="92"/>
    </row>
    <row r="38" spans="1:256" s="87" customFormat="1" ht="69">
      <c r="A38" s="109" t="s">
        <v>70</v>
      </c>
      <c r="B38" s="110" t="s">
        <v>71</v>
      </c>
      <c r="C38" s="111"/>
      <c r="D38" s="107"/>
      <c r="E38" s="107"/>
      <c r="F38" s="113"/>
      <c r="G38" s="113"/>
      <c r="FF38" s="83"/>
      <c r="FG38" s="83"/>
      <c r="FH38" s="92"/>
      <c r="FI38" s="92"/>
      <c r="FJ38" s="92"/>
      <c r="FK38" s="92"/>
      <c r="FL38" s="92"/>
      <c r="FM38" s="92"/>
      <c r="FN38" s="92"/>
      <c r="FO38" s="92"/>
      <c r="FP38" s="92"/>
      <c r="FQ38" s="92"/>
      <c r="FR38" s="92"/>
      <c r="FS38" s="92"/>
      <c r="FT38" s="92"/>
      <c r="FU38" s="92"/>
      <c r="FV38" s="92"/>
      <c r="FW38" s="92"/>
      <c r="FX38" s="92"/>
      <c r="FY38" s="92"/>
      <c r="FZ38" s="92"/>
      <c r="GA38" s="92"/>
      <c r="GB38" s="92"/>
      <c r="GC38" s="92"/>
      <c r="GD38" s="92"/>
      <c r="GE38" s="92"/>
      <c r="GF38" s="92"/>
      <c r="GG38" s="92"/>
      <c r="GH38" s="92"/>
      <c r="GI38" s="92"/>
      <c r="GJ38" s="92"/>
      <c r="GK38" s="92"/>
      <c r="GL38" s="92"/>
      <c r="GM38" s="92"/>
      <c r="GN38" s="92"/>
      <c r="GO38" s="92"/>
      <c r="GP38" s="92"/>
      <c r="GQ38" s="92"/>
      <c r="GR38" s="92"/>
      <c r="GS38" s="92"/>
      <c r="GT38" s="92"/>
      <c r="GU38" s="92"/>
      <c r="GV38" s="92"/>
      <c r="GW38" s="92"/>
      <c r="GX38" s="92"/>
      <c r="GY38" s="92"/>
      <c r="GZ38" s="92"/>
      <c r="HA38" s="92"/>
      <c r="HB38" s="92"/>
      <c r="HC38" s="92"/>
      <c r="HD38" s="92"/>
      <c r="HE38" s="92"/>
      <c r="HF38" s="92"/>
      <c r="HG38" s="92"/>
      <c r="HH38" s="92"/>
      <c r="HI38" s="92"/>
      <c r="HJ38" s="92"/>
      <c r="HK38" s="92"/>
      <c r="HL38" s="92"/>
      <c r="HM38" s="92"/>
      <c r="HN38" s="92"/>
      <c r="HO38" s="92"/>
      <c r="HP38" s="92"/>
      <c r="HQ38" s="92"/>
      <c r="HR38" s="92"/>
      <c r="HS38" s="92"/>
      <c r="HT38" s="92"/>
      <c r="HU38" s="92"/>
      <c r="HV38" s="92"/>
      <c r="HW38" s="92"/>
      <c r="HX38" s="92"/>
      <c r="HY38" s="92"/>
      <c r="HZ38" s="92"/>
      <c r="IA38" s="92"/>
      <c r="IB38" s="92"/>
      <c r="IC38" s="92"/>
      <c r="ID38" s="92"/>
      <c r="IE38" s="92"/>
      <c r="IF38" s="92"/>
      <c r="IG38" s="92"/>
      <c r="IH38" s="92"/>
      <c r="II38" s="92"/>
      <c r="IJ38" s="92"/>
      <c r="IK38" s="92"/>
      <c r="IL38" s="92"/>
      <c r="IM38" s="92"/>
      <c r="IN38" s="92"/>
      <c r="IO38" s="92"/>
      <c r="IP38" s="92"/>
      <c r="IQ38" s="92"/>
      <c r="IR38" s="92"/>
      <c r="IS38" s="92"/>
      <c r="IT38" s="92"/>
      <c r="IU38" s="92"/>
      <c r="IV38" s="92"/>
    </row>
    <row r="39" spans="1:256" s="87" customFormat="1" ht="69">
      <c r="A39" s="109" t="s">
        <v>72</v>
      </c>
      <c r="B39" s="110" t="s">
        <v>73</v>
      </c>
      <c r="C39" s="111"/>
      <c r="D39" s="107"/>
      <c r="E39" s="107"/>
      <c r="F39" s="113">
        <v>-60</v>
      </c>
      <c r="G39" s="113"/>
      <c r="FF39" s="83"/>
      <c r="FG39" s="83"/>
      <c r="FH39" s="92"/>
      <c r="FI39" s="92"/>
      <c r="FJ39" s="92"/>
      <c r="FK39" s="92"/>
      <c r="FL39" s="92"/>
      <c r="FM39" s="92"/>
      <c r="FN39" s="92"/>
      <c r="FO39" s="92"/>
      <c r="FP39" s="92"/>
      <c r="FQ39" s="92"/>
      <c r="FR39" s="92"/>
      <c r="FS39" s="92"/>
      <c r="FT39" s="92"/>
      <c r="FU39" s="92"/>
      <c r="FV39" s="92"/>
      <c r="FW39" s="92"/>
      <c r="FX39" s="92"/>
      <c r="FY39" s="92"/>
      <c r="FZ39" s="92"/>
      <c r="GA39" s="92"/>
      <c r="GB39" s="92"/>
      <c r="GC39" s="92"/>
      <c r="GD39" s="92"/>
      <c r="GE39" s="92"/>
      <c r="GF39" s="92"/>
      <c r="GG39" s="92"/>
      <c r="GH39" s="92"/>
      <c r="GI39" s="92"/>
      <c r="GJ39" s="92"/>
      <c r="GK39" s="92"/>
      <c r="GL39" s="92"/>
      <c r="GM39" s="92"/>
      <c r="GN39" s="92"/>
      <c r="GO39" s="92"/>
      <c r="GP39" s="92"/>
      <c r="GQ39" s="92"/>
      <c r="GR39" s="92"/>
      <c r="GS39" s="92"/>
      <c r="GT39" s="92"/>
      <c r="GU39" s="92"/>
      <c r="GV39" s="92"/>
      <c r="GW39" s="92"/>
      <c r="GX39" s="92"/>
      <c r="GY39" s="92"/>
      <c r="GZ39" s="92"/>
      <c r="HA39" s="92"/>
      <c r="HB39" s="92"/>
      <c r="HC39" s="92"/>
      <c r="HD39" s="92"/>
      <c r="HE39" s="92"/>
      <c r="HF39" s="92"/>
      <c r="HG39" s="92"/>
      <c r="HH39" s="92"/>
      <c r="HI39" s="92"/>
      <c r="HJ39" s="92"/>
      <c r="HK39" s="92"/>
      <c r="HL39" s="92"/>
      <c r="HM39" s="92"/>
      <c r="HN39" s="92"/>
      <c r="HO39" s="92"/>
      <c r="HP39" s="92"/>
      <c r="HQ39" s="92"/>
      <c r="HR39" s="92"/>
      <c r="HS39" s="92"/>
      <c r="HT39" s="92"/>
      <c r="HU39" s="92"/>
      <c r="HV39" s="92"/>
      <c r="HW39" s="92"/>
      <c r="HX39" s="92"/>
      <c r="HY39" s="92"/>
      <c r="HZ39" s="92"/>
      <c r="IA39" s="92"/>
      <c r="IB39" s="92"/>
      <c r="IC39" s="92"/>
      <c r="ID39" s="92"/>
      <c r="IE39" s="92"/>
      <c r="IF39" s="92"/>
      <c r="IG39" s="92"/>
      <c r="IH39" s="92"/>
      <c r="II39" s="92"/>
      <c r="IJ39" s="92"/>
      <c r="IK39" s="92"/>
      <c r="IL39" s="92"/>
      <c r="IM39" s="92"/>
      <c r="IN39" s="92"/>
      <c r="IO39" s="92"/>
      <c r="IP39" s="92"/>
      <c r="IQ39" s="92"/>
      <c r="IR39" s="92"/>
      <c r="IS39" s="92"/>
      <c r="IT39" s="92"/>
      <c r="IU39" s="92"/>
      <c r="IV39" s="92"/>
    </row>
    <row r="40" spans="1:256" s="87" customFormat="1" ht="69">
      <c r="A40" s="109" t="s">
        <v>74</v>
      </c>
      <c r="B40" s="110" t="s">
        <v>75</v>
      </c>
      <c r="C40" s="111"/>
      <c r="D40" s="107"/>
      <c r="E40" s="107"/>
      <c r="F40" s="113">
        <f>-11</f>
        <v>-11</v>
      </c>
      <c r="G40" s="113"/>
      <c r="FF40" s="83"/>
      <c r="FG40" s="83"/>
      <c r="FH40" s="92"/>
      <c r="FI40" s="92"/>
      <c r="FJ40" s="92"/>
      <c r="FK40" s="92"/>
      <c r="FL40" s="92"/>
      <c r="FM40" s="92"/>
      <c r="FN40" s="92"/>
      <c r="FO40" s="92"/>
      <c r="FP40" s="92"/>
      <c r="FQ40" s="92"/>
      <c r="FR40" s="92"/>
      <c r="FS40" s="92"/>
      <c r="FT40" s="92"/>
      <c r="FU40" s="92"/>
      <c r="FV40" s="92"/>
      <c r="FW40" s="92"/>
      <c r="FX40" s="92"/>
      <c r="FY40" s="92"/>
      <c r="FZ40" s="92"/>
      <c r="GA40" s="92"/>
      <c r="GB40" s="92"/>
      <c r="GC40" s="92"/>
      <c r="GD40" s="92"/>
      <c r="GE40" s="92"/>
      <c r="GF40" s="92"/>
      <c r="GG40" s="92"/>
      <c r="GH40" s="92"/>
      <c r="GI40" s="92"/>
      <c r="GJ40" s="92"/>
      <c r="GK40" s="92"/>
      <c r="GL40" s="92"/>
      <c r="GM40" s="92"/>
      <c r="GN40" s="92"/>
      <c r="GO40" s="92"/>
      <c r="GP40" s="92"/>
      <c r="GQ40" s="92"/>
      <c r="GR40" s="92"/>
      <c r="GS40" s="92"/>
      <c r="GT40" s="92"/>
      <c r="GU40" s="92"/>
      <c r="GV40" s="92"/>
      <c r="GW40" s="92"/>
      <c r="GX40" s="92"/>
      <c r="GY40" s="92"/>
      <c r="GZ40" s="92"/>
      <c r="HA40" s="92"/>
      <c r="HB40" s="92"/>
      <c r="HC40" s="92"/>
      <c r="HD40" s="92"/>
      <c r="HE40" s="92"/>
      <c r="HF40" s="92"/>
      <c r="HG40" s="92"/>
      <c r="HH40" s="92"/>
      <c r="HI40" s="92"/>
      <c r="HJ40" s="92"/>
      <c r="HK40" s="92"/>
      <c r="HL40" s="92"/>
      <c r="HM40" s="92"/>
      <c r="HN40" s="92"/>
      <c r="HO40" s="92"/>
      <c r="HP40" s="92"/>
      <c r="HQ40" s="92"/>
      <c r="HR40" s="92"/>
      <c r="HS40" s="92"/>
      <c r="HT40" s="92"/>
      <c r="HU40" s="92"/>
      <c r="HV40" s="92"/>
      <c r="HW40" s="92"/>
      <c r="HX40" s="92"/>
      <c r="HY40" s="92"/>
      <c r="HZ40" s="92"/>
      <c r="IA40" s="92"/>
      <c r="IB40" s="92"/>
      <c r="IC40" s="92"/>
      <c r="ID40" s="92"/>
      <c r="IE40" s="92"/>
      <c r="IF40" s="92"/>
      <c r="IG40" s="92"/>
      <c r="IH40" s="92"/>
      <c r="II40" s="92"/>
      <c r="IJ40" s="92"/>
      <c r="IK40" s="92"/>
      <c r="IL40" s="92"/>
      <c r="IM40" s="92"/>
      <c r="IN40" s="92"/>
      <c r="IO40" s="92"/>
      <c r="IP40" s="92"/>
      <c r="IQ40" s="92"/>
      <c r="IR40" s="92"/>
      <c r="IS40" s="92"/>
      <c r="IT40" s="92"/>
      <c r="IU40" s="92"/>
      <c r="IV40" s="92"/>
    </row>
    <row r="41" spans="1:256" s="87" customFormat="1" ht="69">
      <c r="A41" s="109" t="s">
        <v>76</v>
      </c>
      <c r="B41" s="110" t="s">
        <v>77</v>
      </c>
      <c r="C41" s="111"/>
      <c r="D41" s="107"/>
      <c r="E41" s="107"/>
      <c r="F41" s="113"/>
      <c r="G41" s="113"/>
      <c r="FF41" s="83"/>
      <c r="FG41" s="83"/>
      <c r="FH41" s="92"/>
      <c r="FI41" s="92"/>
      <c r="FJ41" s="92"/>
      <c r="FK41" s="92"/>
      <c r="FL41" s="92"/>
      <c r="FM41" s="92"/>
      <c r="FN41" s="92"/>
      <c r="FO41" s="92"/>
      <c r="FP41" s="92"/>
      <c r="FQ41" s="92"/>
      <c r="FR41" s="92"/>
      <c r="FS41" s="92"/>
      <c r="FT41" s="92"/>
      <c r="FU41" s="92"/>
      <c r="FV41" s="92"/>
      <c r="FW41" s="92"/>
      <c r="FX41" s="92"/>
      <c r="FY41" s="92"/>
      <c r="FZ41" s="92"/>
      <c r="GA41" s="92"/>
      <c r="GB41" s="92"/>
      <c r="GC41" s="92"/>
      <c r="GD41" s="92"/>
      <c r="GE41" s="92"/>
      <c r="GF41" s="92"/>
      <c r="GG41" s="92"/>
      <c r="GH41" s="92"/>
      <c r="GI41" s="92"/>
      <c r="GJ41" s="92"/>
      <c r="GK41" s="92"/>
      <c r="GL41" s="92"/>
      <c r="GM41" s="92"/>
      <c r="GN41" s="92"/>
      <c r="GO41" s="92"/>
      <c r="GP41" s="92"/>
      <c r="GQ41" s="92"/>
      <c r="GR41" s="92"/>
      <c r="GS41" s="92"/>
      <c r="GT41" s="92"/>
      <c r="GU41" s="92"/>
      <c r="GV41" s="92"/>
      <c r="GW41" s="92"/>
      <c r="GX41" s="92"/>
      <c r="GY41" s="92"/>
      <c r="GZ41" s="92"/>
      <c r="HA41" s="92"/>
      <c r="HB41" s="92"/>
      <c r="HC41" s="92"/>
      <c r="HD41" s="92"/>
      <c r="HE41" s="92"/>
      <c r="HF41" s="92"/>
      <c r="HG41" s="92"/>
      <c r="HH41" s="92"/>
      <c r="HI41" s="92"/>
      <c r="HJ41" s="92"/>
      <c r="HK41" s="92"/>
      <c r="HL41" s="92"/>
      <c r="HM41" s="92"/>
      <c r="HN41" s="92"/>
      <c r="HO41" s="92"/>
      <c r="HP41" s="92"/>
      <c r="HQ41" s="92"/>
      <c r="HR41" s="92"/>
      <c r="HS41" s="92"/>
      <c r="HT41" s="92"/>
      <c r="HU41" s="92"/>
      <c r="HV41" s="92"/>
      <c r="HW41" s="92"/>
      <c r="HX41" s="92"/>
      <c r="HY41" s="92"/>
      <c r="HZ41" s="92"/>
      <c r="IA41" s="92"/>
      <c r="IB41" s="92"/>
      <c r="IC41" s="92"/>
      <c r="ID41" s="92"/>
      <c r="IE41" s="92"/>
      <c r="IF41" s="92"/>
      <c r="IG41" s="92"/>
      <c r="IH41" s="92"/>
      <c r="II41" s="92"/>
      <c r="IJ41" s="92"/>
      <c r="IK41" s="92"/>
      <c r="IL41" s="92"/>
      <c r="IM41" s="92"/>
      <c r="IN41" s="92"/>
      <c r="IO41" s="92"/>
      <c r="IP41" s="92"/>
      <c r="IQ41" s="92"/>
      <c r="IR41" s="92"/>
      <c r="IS41" s="92"/>
      <c r="IT41" s="92"/>
      <c r="IU41" s="92"/>
      <c r="IV41" s="92"/>
    </row>
    <row r="42" spans="1:256" s="87" customFormat="1" ht="51.75">
      <c r="A42" s="109" t="s">
        <v>78</v>
      </c>
      <c r="B42" s="110" t="s">
        <v>79</v>
      </c>
      <c r="C42" s="111"/>
      <c r="D42" s="107">
        <v>18000</v>
      </c>
      <c r="E42" s="107">
        <v>18000</v>
      </c>
      <c r="F42" s="113">
        <f>14821+14+721+82+1285+6</f>
        <v>16929</v>
      </c>
      <c r="G42" s="113"/>
      <c r="FF42" s="83"/>
      <c r="FG42" s="83"/>
      <c r="FH42" s="92"/>
      <c r="FI42" s="92"/>
      <c r="FJ42" s="92"/>
      <c r="FK42" s="92"/>
      <c r="FL42" s="92"/>
      <c r="FM42" s="92"/>
      <c r="FN42" s="92"/>
      <c r="FO42" s="92"/>
      <c r="FP42" s="92"/>
      <c r="FQ42" s="92"/>
      <c r="FR42" s="92"/>
      <c r="FS42" s="92"/>
      <c r="FT42" s="92"/>
      <c r="FU42" s="92"/>
      <c r="FV42" s="92"/>
      <c r="FW42" s="92"/>
      <c r="FX42" s="92"/>
      <c r="FY42" s="92"/>
      <c r="FZ42" s="92"/>
      <c r="GA42" s="92"/>
      <c r="GB42" s="92"/>
      <c r="GC42" s="92"/>
      <c r="GD42" s="92"/>
      <c r="GE42" s="92"/>
      <c r="GF42" s="92"/>
      <c r="GG42" s="92"/>
      <c r="GH42" s="92"/>
      <c r="GI42" s="92"/>
      <c r="GJ42" s="92"/>
      <c r="GK42" s="92"/>
      <c r="GL42" s="92"/>
      <c r="GM42" s="92"/>
      <c r="GN42" s="92"/>
      <c r="GO42" s="92"/>
      <c r="GP42" s="92"/>
      <c r="GQ42" s="92"/>
      <c r="GR42" s="92"/>
      <c r="GS42" s="92"/>
      <c r="GT42" s="92"/>
      <c r="GU42" s="92"/>
      <c r="GV42" s="92"/>
      <c r="GW42" s="92"/>
      <c r="GX42" s="92"/>
      <c r="GY42" s="92"/>
      <c r="GZ42" s="92"/>
      <c r="HA42" s="92"/>
      <c r="HB42" s="92"/>
      <c r="HC42" s="92"/>
      <c r="HD42" s="92"/>
      <c r="HE42" s="92"/>
      <c r="HF42" s="92"/>
      <c r="HG42" s="92"/>
      <c r="HH42" s="92"/>
      <c r="HI42" s="92"/>
      <c r="HJ42" s="92"/>
      <c r="HK42" s="92"/>
      <c r="HL42" s="92"/>
      <c r="HM42" s="92"/>
      <c r="HN42" s="92"/>
      <c r="HO42" s="92"/>
      <c r="HP42" s="92"/>
      <c r="HQ42" s="92"/>
      <c r="HR42" s="92"/>
      <c r="HS42" s="92"/>
      <c r="HT42" s="92"/>
      <c r="HU42" s="92"/>
      <c r="HV42" s="92"/>
      <c r="HW42" s="92"/>
      <c r="HX42" s="92"/>
      <c r="HY42" s="92"/>
      <c r="HZ42" s="92"/>
      <c r="IA42" s="92"/>
      <c r="IB42" s="92"/>
      <c r="IC42" s="92"/>
      <c r="ID42" s="92"/>
      <c r="IE42" s="92"/>
      <c r="IF42" s="92"/>
      <c r="IG42" s="92"/>
      <c r="IH42" s="92"/>
      <c r="II42" s="92"/>
      <c r="IJ42" s="92"/>
      <c r="IK42" s="92"/>
      <c r="IL42" s="92"/>
      <c r="IM42" s="92"/>
      <c r="IN42" s="92"/>
      <c r="IO42" s="92"/>
      <c r="IP42" s="92"/>
      <c r="IQ42" s="92"/>
      <c r="IR42" s="92"/>
      <c r="IS42" s="92"/>
      <c r="IT42" s="92"/>
      <c r="IU42" s="92"/>
      <c r="IV42" s="92"/>
    </row>
    <row r="43" spans="1:256" s="87" customFormat="1" ht="30" customHeight="1">
      <c r="A43" s="109" t="s">
        <v>80</v>
      </c>
      <c r="B43" s="110" t="s">
        <v>81</v>
      </c>
      <c r="C43" s="111"/>
      <c r="D43" s="107">
        <v>5090</v>
      </c>
      <c r="E43" s="107">
        <v>5090</v>
      </c>
      <c r="F43" s="113">
        <f>197+1097+377+4729-776+3664+2212+85-3848-2648+886+10174</f>
        <v>16149</v>
      </c>
      <c r="G43" s="113">
        <v>10174</v>
      </c>
      <c r="FF43" s="83"/>
      <c r="FG43" s="83"/>
      <c r="FH43" s="92"/>
      <c r="FI43" s="92"/>
      <c r="FJ43" s="92"/>
      <c r="FK43" s="92"/>
      <c r="FL43" s="92"/>
      <c r="FM43" s="92"/>
      <c r="FN43" s="92"/>
      <c r="FO43" s="92"/>
      <c r="FP43" s="92"/>
      <c r="FQ43" s="92"/>
      <c r="FR43" s="92"/>
      <c r="FS43" s="92"/>
      <c r="FT43" s="92"/>
      <c r="FU43" s="92"/>
      <c r="FV43" s="92"/>
      <c r="FW43" s="92"/>
      <c r="FX43" s="92"/>
      <c r="FY43" s="92"/>
      <c r="FZ43" s="92"/>
      <c r="GA43" s="92"/>
      <c r="GB43" s="92"/>
      <c r="GC43" s="92"/>
      <c r="GD43" s="92"/>
      <c r="GE43" s="92"/>
      <c r="GF43" s="92"/>
      <c r="GG43" s="92"/>
      <c r="GH43" s="92"/>
      <c r="GI43" s="92"/>
      <c r="GJ43" s="92"/>
      <c r="GK43" s="92"/>
      <c r="GL43" s="92"/>
      <c r="GM43" s="92"/>
      <c r="GN43" s="92"/>
      <c r="GO43" s="92"/>
      <c r="GP43" s="92"/>
      <c r="GQ43" s="92"/>
      <c r="GR43" s="92"/>
      <c r="GS43" s="92"/>
      <c r="GT43" s="92"/>
      <c r="GU43" s="92"/>
      <c r="GV43" s="92"/>
      <c r="GW43" s="92"/>
      <c r="GX43" s="92"/>
      <c r="GY43" s="92"/>
      <c r="GZ43" s="92"/>
      <c r="HA43" s="92"/>
      <c r="HB43" s="92"/>
      <c r="HC43" s="92"/>
      <c r="HD43" s="92"/>
      <c r="HE43" s="92"/>
      <c r="HF43" s="92"/>
      <c r="HG43" s="92"/>
      <c r="HH43" s="92"/>
      <c r="HI43" s="92"/>
      <c r="HJ43" s="92"/>
      <c r="HK43" s="92"/>
      <c r="HL43" s="92"/>
      <c r="HM43" s="92"/>
      <c r="HN43" s="92"/>
      <c r="HO43" s="92"/>
      <c r="HP43" s="92"/>
      <c r="HQ43" s="92"/>
      <c r="HR43" s="92"/>
      <c r="HS43" s="92"/>
      <c r="HT43" s="92"/>
      <c r="HU43" s="92"/>
      <c r="HV43" s="92"/>
      <c r="HW43" s="92"/>
      <c r="HX43" s="92"/>
      <c r="HY43" s="92"/>
      <c r="HZ43" s="92"/>
      <c r="IA43" s="92"/>
      <c r="IB43" s="92"/>
      <c r="IC43" s="92"/>
      <c r="ID43" s="92"/>
      <c r="IE43" s="92"/>
      <c r="IF43" s="92"/>
      <c r="IG43" s="92"/>
      <c r="IH43" s="92"/>
      <c r="II43" s="92"/>
      <c r="IJ43" s="92"/>
      <c r="IK43" s="92"/>
      <c r="IL43" s="92"/>
      <c r="IM43" s="92"/>
      <c r="IN43" s="92"/>
      <c r="IO43" s="92"/>
      <c r="IP43" s="92"/>
      <c r="IQ43" s="92"/>
      <c r="IR43" s="92"/>
      <c r="IS43" s="92"/>
      <c r="IT43" s="92"/>
      <c r="IU43" s="92"/>
      <c r="IV43" s="92"/>
    </row>
    <row r="44" spans="1:256" s="87" customFormat="1" ht="17.25">
      <c r="A44" s="109" t="s">
        <v>82</v>
      </c>
      <c r="B44" s="110" t="s">
        <v>83</v>
      </c>
      <c r="C44" s="111"/>
      <c r="D44" s="107">
        <v>950000</v>
      </c>
      <c r="E44" s="107">
        <v>950000</v>
      </c>
      <c r="F44" s="113">
        <f>3600+16656+14470+14957+103453+198337+122786+100746.2+78307+295699.8+395861.1+615779.6</f>
        <v>1960652.7000000002</v>
      </c>
      <c r="G44" s="113">
        <v>615779.6</v>
      </c>
      <c r="FF44" s="83"/>
      <c r="FG44" s="83"/>
      <c r="FH44" s="92"/>
      <c r="FI44" s="92"/>
      <c r="FJ44" s="92"/>
      <c r="FK44" s="92"/>
      <c r="FL44" s="92"/>
      <c r="FM44" s="92"/>
      <c r="FN44" s="92"/>
      <c r="FO44" s="92"/>
      <c r="FP44" s="92"/>
      <c r="FQ44" s="92"/>
      <c r="FR44" s="92"/>
      <c r="FS44" s="92"/>
      <c r="FT44" s="92"/>
      <c r="FU44" s="92"/>
      <c r="FV44" s="92"/>
      <c r="FW44" s="92"/>
      <c r="FX44" s="92"/>
      <c r="FY44" s="92"/>
      <c r="FZ44" s="92"/>
      <c r="GA44" s="92"/>
      <c r="GB44" s="92"/>
      <c r="GC44" s="92"/>
      <c r="GD44" s="92"/>
      <c r="GE44" s="92"/>
      <c r="GF44" s="92"/>
      <c r="GG44" s="92"/>
      <c r="GH44" s="92"/>
      <c r="GI44" s="92"/>
      <c r="GJ44" s="92"/>
      <c r="GK44" s="92"/>
      <c r="GL44" s="92"/>
      <c r="GM44" s="92"/>
      <c r="GN44" s="92"/>
      <c r="GO44" s="92"/>
      <c r="GP44" s="92"/>
      <c r="GQ44" s="92"/>
      <c r="GR44" s="92"/>
      <c r="GS44" s="92"/>
      <c r="GT44" s="92"/>
      <c r="GU44" s="92"/>
      <c r="GV44" s="92"/>
      <c r="GW44" s="92"/>
      <c r="GX44" s="92"/>
      <c r="GY44" s="92"/>
      <c r="GZ44" s="92"/>
      <c r="HA44" s="92"/>
      <c r="HB44" s="92"/>
      <c r="HC44" s="92"/>
      <c r="HD44" s="92"/>
      <c r="HE44" s="92"/>
      <c r="HF44" s="92"/>
      <c r="HG44" s="92"/>
      <c r="HH44" s="92"/>
      <c r="HI44" s="92"/>
      <c r="HJ44" s="92"/>
      <c r="HK44" s="92"/>
      <c r="HL44" s="92"/>
      <c r="HM44" s="92"/>
      <c r="HN44" s="92"/>
      <c r="HO44" s="92"/>
      <c r="HP44" s="92"/>
      <c r="HQ44" s="92"/>
      <c r="HR44" s="92"/>
      <c r="HS44" s="92"/>
      <c r="HT44" s="92"/>
      <c r="HU44" s="92"/>
      <c r="HV44" s="92"/>
      <c r="HW44" s="92"/>
      <c r="HX44" s="92"/>
      <c r="HY44" s="92"/>
      <c r="HZ44" s="92"/>
      <c r="IA44" s="92"/>
      <c r="IB44" s="92"/>
      <c r="IC44" s="92"/>
      <c r="ID44" s="92"/>
      <c r="IE44" s="92"/>
      <c r="IF44" s="92"/>
      <c r="IG44" s="92"/>
      <c r="IH44" s="92"/>
      <c r="II44" s="92"/>
      <c r="IJ44" s="92"/>
      <c r="IK44" s="92"/>
      <c r="IL44" s="92"/>
      <c r="IM44" s="92"/>
      <c r="IN44" s="92"/>
      <c r="IO44" s="92"/>
      <c r="IP44" s="92"/>
      <c r="IQ44" s="92"/>
      <c r="IR44" s="92"/>
      <c r="IS44" s="92"/>
      <c r="IT44" s="92"/>
      <c r="IU44" s="92"/>
      <c r="IV44" s="92"/>
    </row>
    <row r="45" spans="1:256" s="87" customFormat="1" ht="34.5">
      <c r="A45" s="109" t="s">
        <v>84</v>
      </c>
      <c r="B45" s="110" t="s">
        <v>85</v>
      </c>
      <c r="C45" s="111"/>
      <c r="D45" s="107">
        <v>75000</v>
      </c>
      <c r="E45" s="107">
        <v>75000</v>
      </c>
      <c r="F45" s="113">
        <f>1786+6300+9753+14171+4472+5249+4523+4034+4945+3903+4632+5572</f>
        <v>69340</v>
      </c>
      <c r="G45" s="113">
        <v>5572</v>
      </c>
      <c r="FF45" s="83"/>
      <c r="FG45" s="83"/>
      <c r="FH45" s="92"/>
      <c r="FI45" s="92"/>
      <c r="FJ45" s="92"/>
      <c r="FK45" s="92"/>
      <c r="FL45" s="92"/>
      <c r="FM45" s="92"/>
      <c r="FN45" s="92"/>
      <c r="FO45" s="92"/>
      <c r="FP45" s="92"/>
      <c r="FQ45" s="92"/>
      <c r="FR45" s="92"/>
      <c r="FS45" s="92"/>
      <c r="FT45" s="92"/>
      <c r="FU45" s="92"/>
      <c r="FV45" s="92"/>
      <c r="FW45" s="92"/>
      <c r="FX45" s="92"/>
      <c r="FY45" s="92"/>
      <c r="FZ45" s="92"/>
      <c r="GA45" s="92"/>
      <c r="GB45" s="92"/>
      <c r="GC45" s="92"/>
      <c r="GD45" s="92"/>
      <c r="GE45" s="92"/>
      <c r="GF45" s="92"/>
      <c r="GG45" s="92"/>
      <c r="GH45" s="92"/>
      <c r="GI45" s="92"/>
      <c r="GJ45" s="92"/>
      <c r="GK45" s="92"/>
      <c r="GL45" s="92"/>
      <c r="GM45" s="92"/>
      <c r="GN45" s="92"/>
      <c r="GO45" s="92"/>
      <c r="GP45" s="92"/>
      <c r="GQ45" s="92"/>
      <c r="GR45" s="92"/>
      <c r="GS45" s="92"/>
      <c r="GT45" s="92"/>
      <c r="GU45" s="92"/>
      <c r="GV45" s="92"/>
      <c r="GW45" s="92"/>
      <c r="GX45" s="92"/>
      <c r="GY45" s="92"/>
      <c r="GZ45" s="92"/>
      <c r="HA45" s="92"/>
      <c r="HB45" s="92"/>
      <c r="HC45" s="92"/>
      <c r="HD45" s="92"/>
      <c r="HE45" s="92"/>
      <c r="HF45" s="92"/>
      <c r="HG45" s="92"/>
      <c r="HH45" s="92"/>
      <c r="HI45" s="92"/>
      <c r="HJ45" s="92"/>
      <c r="HK45" s="92"/>
      <c r="HL45" s="92"/>
      <c r="HM45" s="92"/>
      <c r="HN45" s="92"/>
      <c r="HO45" s="92"/>
      <c r="HP45" s="92"/>
      <c r="HQ45" s="92"/>
      <c r="HR45" s="92"/>
      <c r="HS45" s="92"/>
      <c r="HT45" s="92"/>
      <c r="HU45" s="92"/>
      <c r="HV45" s="92"/>
      <c r="HW45" s="92"/>
      <c r="HX45" s="92"/>
      <c r="HY45" s="92"/>
      <c r="HZ45" s="92"/>
      <c r="IA45" s="92"/>
      <c r="IB45" s="92"/>
      <c r="IC45" s="92"/>
      <c r="ID45" s="92"/>
      <c r="IE45" s="92"/>
      <c r="IF45" s="92"/>
      <c r="IG45" s="92"/>
      <c r="IH45" s="92"/>
      <c r="II45" s="92"/>
      <c r="IJ45" s="92"/>
      <c r="IK45" s="92"/>
      <c r="IL45" s="92"/>
      <c r="IM45" s="92"/>
      <c r="IN45" s="92"/>
      <c r="IO45" s="92"/>
      <c r="IP45" s="92"/>
      <c r="IQ45" s="92"/>
      <c r="IR45" s="92"/>
      <c r="IS45" s="92"/>
      <c r="IT45" s="92"/>
      <c r="IU45" s="92"/>
      <c r="IV45" s="92"/>
    </row>
    <row r="46" spans="1:256" s="87" customFormat="1" ht="38.25" customHeight="1">
      <c r="A46" s="115" t="s">
        <v>86</v>
      </c>
      <c r="B46" s="116" t="s">
        <v>87</v>
      </c>
      <c r="C46" s="111"/>
      <c r="D46" s="107"/>
      <c r="E46" s="107"/>
      <c r="F46" s="113"/>
      <c r="G46" s="113"/>
      <c r="FF46" s="83"/>
      <c r="FG46" s="83"/>
      <c r="FH46" s="92"/>
      <c r="FI46" s="92"/>
      <c r="FJ46" s="92"/>
      <c r="FK46" s="92"/>
      <c r="FL46" s="92"/>
      <c r="FM46" s="92"/>
      <c r="FN46" s="92"/>
      <c r="FO46" s="92"/>
      <c r="FP46" s="92"/>
      <c r="FQ46" s="92"/>
      <c r="FR46" s="92"/>
      <c r="FS46" s="92"/>
      <c r="FT46" s="92"/>
      <c r="FU46" s="92"/>
      <c r="FV46" s="92"/>
      <c r="FW46" s="92"/>
      <c r="FX46" s="92"/>
      <c r="FY46" s="92"/>
      <c r="FZ46" s="92"/>
      <c r="GA46" s="92"/>
      <c r="GB46" s="92"/>
      <c r="GC46" s="92"/>
      <c r="GD46" s="92"/>
      <c r="GE46" s="92"/>
      <c r="GF46" s="92"/>
      <c r="GG46" s="92"/>
      <c r="GH46" s="92"/>
      <c r="GI46" s="92"/>
      <c r="GJ46" s="92"/>
      <c r="GK46" s="92"/>
      <c r="GL46" s="92"/>
      <c r="GM46" s="92"/>
      <c r="GN46" s="92"/>
      <c r="GO46" s="92"/>
      <c r="GP46" s="92"/>
      <c r="GQ46" s="92"/>
      <c r="GR46" s="92"/>
      <c r="GS46" s="92"/>
      <c r="GT46" s="92"/>
      <c r="GU46" s="92"/>
      <c r="GV46" s="92"/>
      <c r="GW46" s="92"/>
      <c r="GX46" s="92"/>
      <c r="GY46" s="92"/>
      <c r="GZ46" s="92"/>
      <c r="HA46" s="92"/>
      <c r="HB46" s="92"/>
      <c r="HC46" s="92"/>
      <c r="HD46" s="92"/>
      <c r="HE46" s="92"/>
      <c r="HF46" s="92"/>
      <c r="HG46" s="92"/>
      <c r="HH46" s="92"/>
      <c r="HI46" s="92"/>
      <c r="HJ46" s="92"/>
      <c r="HK46" s="92"/>
      <c r="HL46" s="92"/>
      <c r="HM46" s="92"/>
      <c r="HN46" s="92"/>
      <c r="HO46" s="92"/>
      <c r="HP46" s="92"/>
      <c r="HQ46" s="92"/>
      <c r="HR46" s="92"/>
      <c r="HS46" s="92"/>
      <c r="HT46" s="92"/>
      <c r="HU46" s="92"/>
      <c r="HV46" s="92"/>
      <c r="HW46" s="92"/>
      <c r="HX46" s="92"/>
      <c r="HY46" s="92"/>
      <c r="HZ46" s="92"/>
      <c r="IA46" s="92"/>
      <c r="IB46" s="92"/>
      <c r="IC46" s="92"/>
      <c r="ID46" s="92"/>
      <c r="IE46" s="92"/>
      <c r="IF46" s="92"/>
      <c r="IG46" s="92"/>
      <c r="IH46" s="92"/>
      <c r="II46" s="92"/>
      <c r="IJ46" s="92"/>
      <c r="IK46" s="92"/>
      <c r="IL46" s="92"/>
      <c r="IM46" s="92"/>
      <c r="IN46" s="92"/>
      <c r="IO46" s="92"/>
      <c r="IP46" s="92"/>
      <c r="IQ46" s="92"/>
      <c r="IR46" s="92"/>
      <c r="IS46" s="92"/>
      <c r="IT46" s="92"/>
      <c r="IU46" s="92"/>
      <c r="IV46" s="92"/>
    </row>
    <row r="47" spans="1:256" s="87" customFormat="1" ht="34.5">
      <c r="A47" s="115" t="s">
        <v>88</v>
      </c>
      <c r="B47" s="116" t="s">
        <v>89</v>
      </c>
      <c r="C47" s="111"/>
      <c r="D47" s="107">
        <v>15620</v>
      </c>
      <c r="E47" s="107">
        <v>15620</v>
      </c>
      <c r="F47" s="113">
        <f>13013</f>
        <v>13013</v>
      </c>
      <c r="G47" s="113"/>
      <c r="FF47" s="83"/>
      <c r="FG47" s="83"/>
      <c r="FH47" s="92"/>
      <c r="FI47" s="92"/>
      <c r="FJ47" s="92"/>
      <c r="FK47" s="92"/>
      <c r="FL47" s="92"/>
      <c r="FM47" s="92"/>
      <c r="FN47" s="92"/>
      <c r="FO47" s="92"/>
      <c r="FP47" s="92"/>
      <c r="FQ47" s="92"/>
      <c r="FR47" s="92"/>
      <c r="FS47" s="92"/>
      <c r="FT47" s="92"/>
      <c r="FU47" s="92"/>
      <c r="FV47" s="92"/>
      <c r="FW47" s="92"/>
      <c r="FX47" s="92"/>
      <c r="FY47" s="92"/>
      <c r="FZ47" s="92"/>
      <c r="GA47" s="92"/>
      <c r="GB47" s="92"/>
      <c r="GC47" s="92"/>
      <c r="GD47" s="92"/>
      <c r="GE47" s="92"/>
      <c r="GF47" s="92"/>
      <c r="GG47" s="92"/>
      <c r="GH47" s="92"/>
      <c r="GI47" s="92"/>
      <c r="GJ47" s="92"/>
      <c r="GK47" s="92"/>
      <c r="GL47" s="92"/>
      <c r="GM47" s="92"/>
      <c r="GN47" s="92"/>
      <c r="GO47" s="92"/>
      <c r="GP47" s="92"/>
      <c r="GQ47" s="92"/>
      <c r="GR47" s="92"/>
      <c r="GS47" s="92"/>
      <c r="GT47" s="92"/>
      <c r="GU47" s="92"/>
      <c r="GV47" s="92"/>
      <c r="GW47" s="92"/>
      <c r="GX47" s="92"/>
      <c r="GY47" s="92"/>
      <c r="GZ47" s="92"/>
      <c r="HA47" s="92"/>
      <c r="HB47" s="92"/>
      <c r="HC47" s="92"/>
      <c r="HD47" s="92"/>
      <c r="HE47" s="92"/>
      <c r="HF47" s="92"/>
      <c r="HG47" s="92"/>
      <c r="HH47" s="92"/>
      <c r="HI47" s="92"/>
      <c r="HJ47" s="92"/>
      <c r="HK47" s="92"/>
      <c r="HL47" s="92"/>
      <c r="HM47" s="92"/>
      <c r="HN47" s="92"/>
      <c r="HO47" s="92"/>
      <c r="HP47" s="92"/>
      <c r="HQ47" s="92"/>
      <c r="HR47" s="92"/>
      <c r="HS47" s="92"/>
      <c r="HT47" s="92"/>
      <c r="HU47" s="92"/>
      <c r="HV47" s="92"/>
      <c r="HW47" s="92"/>
      <c r="HX47" s="92"/>
      <c r="HY47" s="92"/>
      <c r="HZ47" s="92"/>
      <c r="IA47" s="92"/>
      <c r="IB47" s="92"/>
      <c r="IC47" s="92"/>
      <c r="ID47" s="92"/>
      <c r="IE47" s="92"/>
      <c r="IF47" s="92"/>
      <c r="IG47" s="92"/>
      <c r="IH47" s="92"/>
      <c r="II47" s="92"/>
      <c r="IJ47" s="92"/>
      <c r="IK47" s="92"/>
      <c r="IL47" s="92"/>
      <c r="IM47" s="92"/>
      <c r="IN47" s="92"/>
      <c r="IO47" s="92"/>
      <c r="IP47" s="92"/>
      <c r="IQ47" s="92"/>
      <c r="IR47" s="92"/>
      <c r="IS47" s="92"/>
      <c r="IT47" s="92"/>
      <c r="IU47" s="92"/>
      <c r="IV47" s="92"/>
    </row>
    <row r="48" spans="1:256" s="87" customFormat="1" ht="51.75">
      <c r="A48" s="115" t="s">
        <v>90</v>
      </c>
      <c r="B48" s="116" t="s">
        <v>91</v>
      </c>
      <c r="C48" s="111"/>
      <c r="D48" s="107">
        <v>89000</v>
      </c>
      <c r="E48" s="107">
        <v>89000</v>
      </c>
      <c r="F48" s="113">
        <f>7600+10484+4576+9360+7268+6762+4784+9169+9152+9568+9568</f>
        <v>88291</v>
      </c>
      <c r="G48" s="113">
        <v>9568</v>
      </c>
      <c r="FF48" s="83"/>
      <c r="FG48" s="83"/>
      <c r="FH48" s="92"/>
      <c r="FI48" s="92"/>
      <c r="FJ48" s="92"/>
      <c r="FK48" s="92"/>
      <c r="FL48" s="92"/>
      <c r="FM48" s="92"/>
      <c r="FN48" s="92"/>
      <c r="FO48" s="92"/>
      <c r="FP48" s="92"/>
      <c r="FQ48" s="92"/>
      <c r="FR48" s="92"/>
      <c r="FS48" s="92"/>
      <c r="FT48" s="92"/>
      <c r="FU48" s="92"/>
      <c r="FV48" s="92"/>
      <c r="FW48" s="92"/>
      <c r="FX48" s="92"/>
      <c r="FY48" s="92"/>
      <c r="FZ48" s="92"/>
      <c r="GA48" s="92"/>
      <c r="GB48" s="92"/>
      <c r="GC48" s="92"/>
      <c r="GD48" s="92"/>
      <c r="GE48" s="92"/>
      <c r="GF48" s="92"/>
      <c r="GG48" s="92"/>
      <c r="GH48" s="92"/>
      <c r="GI48" s="92"/>
      <c r="GJ48" s="92"/>
      <c r="GK48" s="92"/>
      <c r="GL48" s="92"/>
      <c r="GM48" s="92"/>
      <c r="GN48" s="92"/>
      <c r="GO48" s="92"/>
      <c r="GP48" s="92"/>
      <c r="GQ48" s="92"/>
      <c r="GR48" s="92"/>
      <c r="GS48" s="92"/>
      <c r="GT48" s="92"/>
      <c r="GU48" s="92"/>
      <c r="GV48" s="92"/>
      <c r="GW48" s="92"/>
      <c r="GX48" s="92"/>
      <c r="GY48" s="92"/>
      <c r="GZ48" s="92"/>
      <c r="HA48" s="92"/>
      <c r="HB48" s="92"/>
      <c r="HC48" s="92"/>
      <c r="HD48" s="92"/>
      <c r="HE48" s="92"/>
      <c r="HF48" s="92"/>
      <c r="HG48" s="92"/>
      <c r="HH48" s="92"/>
      <c r="HI48" s="92"/>
      <c r="HJ48" s="92"/>
      <c r="HK48" s="92"/>
      <c r="HL48" s="92"/>
      <c r="HM48" s="92"/>
      <c r="HN48" s="92"/>
      <c r="HO48" s="92"/>
      <c r="HP48" s="92"/>
      <c r="HQ48" s="92"/>
      <c r="HR48" s="92"/>
      <c r="HS48" s="92"/>
      <c r="HT48" s="92"/>
      <c r="HU48" s="92"/>
      <c r="HV48" s="92"/>
      <c r="HW48" s="92"/>
      <c r="HX48" s="92"/>
      <c r="HY48" s="92"/>
      <c r="HZ48" s="92"/>
      <c r="IA48" s="92"/>
      <c r="IB48" s="92"/>
      <c r="IC48" s="92"/>
      <c r="ID48" s="92"/>
      <c r="IE48" s="92"/>
      <c r="IF48" s="92"/>
      <c r="IG48" s="92"/>
      <c r="IH48" s="92"/>
      <c r="II48" s="92"/>
      <c r="IJ48" s="92"/>
      <c r="IK48" s="92"/>
      <c r="IL48" s="92"/>
      <c r="IM48" s="92"/>
      <c r="IN48" s="92"/>
      <c r="IO48" s="92"/>
      <c r="IP48" s="92"/>
      <c r="IQ48" s="92"/>
      <c r="IR48" s="92"/>
      <c r="IS48" s="92"/>
      <c r="IT48" s="92"/>
      <c r="IU48" s="92"/>
      <c r="IV48" s="92"/>
    </row>
    <row r="49" spans="1:256" s="87" customFormat="1" ht="34.5">
      <c r="A49" s="115" t="s">
        <v>92</v>
      </c>
      <c r="B49" s="116" t="s">
        <v>93</v>
      </c>
      <c r="C49" s="111"/>
      <c r="D49" s="107">
        <v>4310000</v>
      </c>
      <c r="E49" s="107">
        <v>4310000</v>
      </c>
      <c r="F49" s="117">
        <f>325678+316416+578763+110603+163945+826901+1184279+780786+397385+333140+321767+589338</f>
        <v>5929001</v>
      </c>
      <c r="G49" s="113">
        <v>589338</v>
      </c>
      <c r="FF49" s="83"/>
      <c r="FG49" s="83"/>
      <c r="FH49" s="92"/>
      <c r="FI49" s="92"/>
      <c r="FJ49" s="92"/>
      <c r="FK49" s="92"/>
      <c r="FL49" s="92"/>
      <c r="FM49" s="92"/>
      <c r="FN49" s="92"/>
      <c r="FO49" s="92"/>
      <c r="FP49" s="92"/>
      <c r="FQ49" s="92"/>
      <c r="FR49" s="92"/>
      <c r="FS49" s="89"/>
      <c r="FT49" s="89"/>
      <c r="FU49" s="89"/>
      <c r="FV49" s="89"/>
      <c r="FW49" s="89"/>
      <c r="FX49" s="89"/>
      <c r="FY49" s="89"/>
      <c r="FZ49" s="89"/>
      <c r="GA49" s="89"/>
      <c r="GB49" s="89"/>
      <c r="GC49" s="89"/>
      <c r="GD49" s="89"/>
      <c r="GE49" s="89"/>
      <c r="GF49" s="89"/>
      <c r="GG49" s="89"/>
      <c r="GH49" s="89"/>
      <c r="GI49" s="89"/>
      <c r="GJ49" s="89"/>
      <c r="GK49" s="89"/>
      <c r="GL49" s="89"/>
      <c r="GM49" s="89"/>
      <c r="GN49" s="89"/>
      <c r="GO49" s="89"/>
      <c r="GP49" s="89"/>
      <c r="GQ49" s="89"/>
      <c r="GR49" s="89"/>
      <c r="GS49" s="89"/>
      <c r="GT49" s="89"/>
      <c r="GU49" s="89"/>
      <c r="GV49" s="89"/>
      <c r="GW49" s="89"/>
      <c r="GX49" s="89"/>
      <c r="GY49" s="89"/>
      <c r="GZ49" s="89"/>
      <c r="HA49" s="89"/>
      <c r="HB49" s="89"/>
      <c r="HC49" s="89"/>
      <c r="HD49" s="89"/>
      <c r="HE49" s="89"/>
      <c r="HF49" s="89"/>
      <c r="HG49" s="89"/>
      <c r="HH49" s="89"/>
      <c r="HI49" s="89"/>
      <c r="HJ49" s="89"/>
      <c r="HK49" s="89"/>
      <c r="HL49" s="89"/>
      <c r="HM49" s="89"/>
      <c r="HN49" s="89"/>
      <c r="HO49" s="89"/>
      <c r="HP49" s="89"/>
      <c r="HQ49" s="89"/>
      <c r="HR49" s="89"/>
      <c r="HS49" s="89"/>
      <c r="HT49" s="89"/>
      <c r="HU49" s="89"/>
      <c r="HV49" s="89"/>
      <c r="HW49" s="89"/>
      <c r="HX49" s="89"/>
      <c r="HY49" s="89"/>
      <c r="HZ49" s="89"/>
      <c r="IA49" s="89"/>
      <c r="IB49" s="89"/>
      <c r="IC49" s="89"/>
      <c r="ID49" s="89"/>
      <c r="IE49" s="89"/>
      <c r="IF49" s="89"/>
      <c r="IG49" s="89"/>
      <c r="IH49" s="89"/>
      <c r="II49" s="89"/>
      <c r="IJ49" s="89"/>
      <c r="IK49" s="89"/>
      <c r="IL49" s="89"/>
      <c r="IM49" s="89"/>
      <c r="IN49" s="89"/>
      <c r="IO49" s="89"/>
      <c r="IP49" s="89"/>
      <c r="IQ49" s="89"/>
      <c r="IR49" s="89"/>
      <c r="IS49" s="89"/>
      <c r="IT49" s="89"/>
      <c r="IU49" s="89"/>
      <c r="IV49" s="89"/>
    </row>
    <row r="50" spans="1:256" s="87" customFormat="1" ht="34.5">
      <c r="A50" s="109" t="s">
        <v>94</v>
      </c>
      <c r="B50" s="110" t="s">
        <v>95</v>
      </c>
      <c r="C50" s="111"/>
      <c r="D50" s="107"/>
      <c r="E50" s="107"/>
      <c r="F50" s="113"/>
      <c r="G50" s="113"/>
      <c r="FF50" s="83"/>
      <c r="FG50" s="83"/>
      <c r="FH50" s="92"/>
      <c r="FI50" s="92"/>
      <c r="FJ50" s="92"/>
      <c r="FK50" s="92"/>
      <c r="FL50" s="92"/>
      <c r="FM50" s="92"/>
      <c r="FN50" s="92"/>
      <c r="FO50" s="92"/>
      <c r="FP50" s="92"/>
      <c r="FQ50" s="92"/>
      <c r="FR50" s="92"/>
      <c r="FS50" s="89"/>
      <c r="FT50" s="89"/>
      <c r="FU50" s="89"/>
      <c r="FV50" s="89"/>
      <c r="FW50" s="89"/>
      <c r="FX50" s="89"/>
      <c r="FY50" s="89"/>
      <c r="FZ50" s="89"/>
      <c r="GA50" s="89"/>
      <c r="GB50" s="89"/>
      <c r="GC50" s="89"/>
      <c r="GD50" s="89"/>
      <c r="GE50" s="89"/>
      <c r="GF50" s="89"/>
      <c r="GG50" s="89"/>
      <c r="GH50" s="89"/>
      <c r="GI50" s="89"/>
      <c r="GJ50" s="89"/>
      <c r="GK50" s="89"/>
      <c r="GL50" s="89"/>
      <c r="GM50" s="89"/>
      <c r="GN50" s="89"/>
      <c r="GO50" s="89"/>
      <c r="GP50" s="89"/>
      <c r="GQ50" s="89"/>
      <c r="GR50" s="89"/>
      <c r="GS50" s="89"/>
      <c r="GT50" s="89"/>
      <c r="GU50" s="89"/>
      <c r="GV50" s="89"/>
      <c r="GW50" s="89"/>
      <c r="GX50" s="89"/>
      <c r="GY50" s="89"/>
      <c r="GZ50" s="89"/>
      <c r="HA50" s="89"/>
      <c r="HB50" s="89"/>
      <c r="HC50" s="89"/>
      <c r="HD50" s="89"/>
      <c r="HE50" s="89"/>
      <c r="HF50" s="89"/>
      <c r="HG50" s="89"/>
      <c r="HH50" s="89"/>
      <c r="HI50" s="89"/>
      <c r="HJ50" s="89"/>
      <c r="HK50" s="89"/>
      <c r="HL50" s="89"/>
      <c r="HM50" s="89"/>
      <c r="HN50" s="89"/>
      <c r="HO50" s="89"/>
      <c r="HP50" s="89"/>
      <c r="HQ50" s="89"/>
      <c r="HR50" s="89"/>
      <c r="HS50" s="89"/>
      <c r="HT50" s="89"/>
      <c r="HU50" s="89"/>
      <c r="HV50" s="89"/>
      <c r="HW50" s="89"/>
      <c r="HX50" s="89"/>
      <c r="HY50" s="89"/>
      <c r="HZ50" s="89"/>
      <c r="IA50" s="89"/>
      <c r="IB50" s="89"/>
      <c r="IC50" s="89"/>
      <c r="ID50" s="89"/>
      <c r="IE50" s="89"/>
      <c r="IF50" s="89"/>
      <c r="IG50" s="89"/>
      <c r="IH50" s="89"/>
      <c r="II50" s="89"/>
      <c r="IJ50" s="89"/>
      <c r="IK50" s="89"/>
      <c r="IL50" s="89"/>
      <c r="IM50" s="89"/>
      <c r="IN50" s="89"/>
      <c r="IO50" s="89"/>
      <c r="IP50" s="89"/>
      <c r="IQ50" s="89"/>
      <c r="IR50" s="89"/>
      <c r="IS50" s="89"/>
      <c r="IT50" s="89"/>
      <c r="IU50" s="89"/>
      <c r="IV50" s="89"/>
    </row>
    <row r="51" spans="1:256" s="87" customFormat="1" ht="17.25">
      <c r="A51" s="105" t="s">
        <v>96</v>
      </c>
      <c r="B51" s="106" t="s">
        <v>97</v>
      </c>
      <c r="C51" s="107">
        <f>+C52+C57</f>
        <v>0</v>
      </c>
      <c r="D51" s="107">
        <f>+D52+D57</f>
        <v>203160</v>
      </c>
      <c r="E51" s="107">
        <f>+E52+E57</f>
        <v>203160</v>
      </c>
      <c r="F51" s="108">
        <f>+F52+F57</f>
        <v>176991.64</v>
      </c>
      <c r="G51" s="108">
        <f>+G52+G57</f>
        <v>30114.72</v>
      </c>
      <c r="FF51" s="83"/>
      <c r="FG51" s="83"/>
      <c r="FH51" s="92"/>
      <c r="FI51" s="92"/>
      <c r="FJ51" s="92"/>
      <c r="FK51" s="92"/>
      <c r="FL51" s="92"/>
      <c r="FM51" s="92"/>
      <c r="FN51" s="92"/>
      <c r="FO51" s="92"/>
      <c r="FP51" s="92"/>
      <c r="FQ51" s="92"/>
      <c r="FR51" s="92"/>
      <c r="FS51" s="89"/>
      <c r="FT51" s="89"/>
      <c r="FU51" s="89"/>
      <c r="FV51" s="89"/>
      <c r="FW51" s="89"/>
      <c r="FX51" s="89"/>
      <c r="FY51" s="89"/>
      <c r="FZ51" s="89"/>
      <c r="GA51" s="89"/>
      <c r="GB51" s="89"/>
      <c r="GC51" s="89"/>
      <c r="GD51" s="89"/>
      <c r="GE51" s="89"/>
      <c r="GF51" s="89"/>
      <c r="GG51" s="89"/>
      <c r="GH51" s="89"/>
      <c r="GI51" s="89"/>
      <c r="GJ51" s="89"/>
      <c r="GK51" s="89"/>
      <c r="GL51" s="89"/>
      <c r="GM51" s="89"/>
      <c r="GN51" s="89"/>
      <c r="GO51" s="89"/>
      <c r="GP51" s="89"/>
      <c r="GQ51" s="89"/>
      <c r="GR51" s="89"/>
      <c r="GS51" s="89"/>
      <c r="GT51" s="89"/>
      <c r="GU51" s="89"/>
      <c r="GV51" s="89"/>
      <c r="GW51" s="89"/>
      <c r="GX51" s="89"/>
      <c r="GY51" s="89"/>
      <c r="GZ51" s="89"/>
      <c r="HA51" s="89"/>
      <c r="HB51" s="89"/>
      <c r="HC51" s="89"/>
      <c r="HD51" s="89"/>
      <c r="HE51" s="89"/>
      <c r="HF51" s="89"/>
      <c r="HG51" s="89"/>
      <c r="HH51" s="89"/>
      <c r="HI51" s="89"/>
      <c r="HJ51" s="89"/>
      <c r="HK51" s="89"/>
      <c r="HL51" s="89"/>
      <c r="HM51" s="89"/>
      <c r="HN51" s="89"/>
      <c r="HO51" s="89"/>
      <c r="HP51" s="89"/>
      <c r="HQ51" s="89"/>
      <c r="HR51" s="89"/>
      <c r="HS51" s="89"/>
      <c r="HT51" s="89"/>
      <c r="HU51" s="89"/>
      <c r="HV51" s="89"/>
      <c r="HW51" s="89"/>
      <c r="HX51" s="89"/>
      <c r="HY51" s="89"/>
      <c r="HZ51" s="89"/>
      <c r="IA51" s="89"/>
      <c r="IB51" s="89"/>
      <c r="IC51" s="89"/>
      <c r="ID51" s="89"/>
      <c r="IE51" s="89"/>
      <c r="IF51" s="89"/>
      <c r="IG51" s="89"/>
      <c r="IH51" s="89"/>
      <c r="II51" s="89"/>
      <c r="IJ51" s="89"/>
      <c r="IK51" s="89"/>
      <c r="IL51" s="89"/>
      <c r="IM51" s="89"/>
      <c r="IN51" s="89"/>
      <c r="IO51" s="89"/>
      <c r="IP51" s="89"/>
      <c r="IQ51" s="89"/>
      <c r="IR51" s="89"/>
      <c r="IS51" s="89"/>
      <c r="IT51" s="89"/>
      <c r="IU51" s="89"/>
      <c r="IV51" s="89"/>
    </row>
    <row r="52" spans="1:256" s="87" customFormat="1" ht="17.25">
      <c r="A52" s="105" t="s">
        <v>98</v>
      </c>
      <c r="B52" s="106" t="s">
        <v>99</v>
      </c>
      <c r="C52" s="107">
        <f>+C53+C55</f>
        <v>0</v>
      </c>
      <c r="D52" s="107">
        <f>+D53+D55</f>
        <v>0</v>
      </c>
      <c r="E52" s="107">
        <f>+E53+E55</f>
        <v>0</v>
      </c>
      <c r="F52" s="108">
        <f>+F53+F55</f>
        <v>0</v>
      </c>
      <c r="G52" s="108">
        <f>+G53+G55</f>
        <v>0</v>
      </c>
      <c r="FF52" s="83"/>
      <c r="FG52" s="83"/>
      <c r="FH52" s="92"/>
      <c r="FI52" s="92"/>
      <c r="FJ52" s="92"/>
      <c r="FK52" s="92"/>
      <c r="FL52" s="92"/>
      <c r="FM52" s="92"/>
      <c r="FN52" s="92"/>
      <c r="FO52" s="92"/>
      <c r="FP52" s="92"/>
      <c r="FQ52" s="92"/>
      <c r="FR52" s="92"/>
      <c r="FS52" s="89"/>
      <c r="FT52" s="89"/>
      <c r="FU52" s="89"/>
      <c r="FV52" s="89"/>
      <c r="FW52" s="89"/>
      <c r="FX52" s="89"/>
      <c r="FY52" s="89"/>
      <c r="FZ52" s="89"/>
      <c r="GA52" s="89"/>
      <c r="GB52" s="89"/>
      <c r="GC52" s="89"/>
      <c r="GD52" s="89"/>
      <c r="GE52" s="89"/>
      <c r="GF52" s="89"/>
      <c r="GG52" s="89"/>
      <c r="GH52" s="89"/>
      <c r="GI52" s="89"/>
      <c r="GJ52" s="89"/>
      <c r="GK52" s="89"/>
      <c r="GL52" s="89"/>
      <c r="GM52" s="89"/>
      <c r="GN52" s="89"/>
      <c r="GO52" s="89"/>
      <c r="GP52" s="89"/>
      <c r="GQ52" s="89"/>
      <c r="GR52" s="89"/>
      <c r="GS52" s="89"/>
      <c r="GT52" s="89"/>
      <c r="GU52" s="89"/>
      <c r="GV52" s="89"/>
      <c r="GW52" s="89"/>
      <c r="GX52" s="89"/>
      <c r="GY52" s="89"/>
      <c r="GZ52" s="89"/>
      <c r="HA52" s="89"/>
      <c r="HB52" s="89"/>
      <c r="HC52" s="89"/>
      <c r="HD52" s="89"/>
      <c r="HE52" s="89"/>
      <c r="HF52" s="89"/>
      <c r="HG52" s="89"/>
      <c r="HH52" s="89"/>
      <c r="HI52" s="89"/>
      <c r="HJ52" s="89"/>
      <c r="HK52" s="89"/>
      <c r="HL52" s="89"/>
      <c r="HM52" s="89"/>
      <c r="HN52" s="89"/>
      <c r="HO52" s="89"/>
      <c r="HP52" s="89"/>
      <c r="HQ52" s="89"/>
      <c r="HR52" s="89"/>
      <c r="HS52" s="89"/>
      <c r="HT52" s="89"/>
      <c r="HU52" s="89"/>
      <c r="HV52" s="89"/>
      <c r="HW52" s="89"/>
      <c r="HX52" s="89"/>
      <c r="HY52" s="89"/>
      <c r="HZ52" s="89"/>
      <c r="IA52" s="89"/>
      <c r="IB52" s="89"/>
      <c r="IC52" s="89"/>
      <c r="ID52" s="89"/>
      <c r="IE52" s="89"/>
      <c r="IF52" s="89"/>
      <c r="IG52" s="89"/>
      <c r="IH52" s="89"/>
      <c r="II52" s="89"/>
      <c r="IJ52" s="89"/>
      <c r="IK52" s="89"/>
      <c r="IL52" s="89"/>
      <c r="IM52" s="89"/>
      <c r="IN52" s="89"/>
      <c r="IO52" s="89"/>
      <c r="IP52" s="89"/>
      <c r="IQ52" s="89"/>
      <c r="IR52" s="89"/>
      <c r="IS52" s="89"/>
      <c r="IT52" s="89"/>
      <c r="IU52" s="89"/>
      <c r="IV52" s="89"/>
    </row>
    <row r="53" spans="1:256" s="87" customFormat="1" ht="17.25">
      <c r="A53" s="105" t="s">
        <v>100</v>
      </c>
      <c r="B53" s="106" t="s">
        <v>101</v>
      </c>
      <c r="C53" s="107">
        <f>+C54</f>
        <v>0</v>
      </c>
      <c r="D53" s="107">
        <f>+D54</f>
        <v>0</v>
      </c>
      <c r="E53" s="107">
        <f>+E54</f>
        <v>0</v>
      </c>
      <c r="F53" s="108">
        <f>+F54</f>
        <v>0</v>
      </c>
      <c r="G53" s="108">
        <f>+G54</f>
        <v>0</v>
      </c>
      <c r="FF53" s="83"/>
      <c r="FG53" s="83"/>
      <c r="FH53" s="92"/>
      <c r="FI53" s="92"/>
      <c r="FJ53" s="92"/>
      <c r="FK53" s="92"/>
      <c r="FL53" s="92"/>
      <c r="FM53" s="92"/>
      <c r="FN53" s="92"/>
      <c r="FO53" s="92"/>
      <c r="FP53" s="92"/>
      <c r="FQ53" s="92"/>
      <c r="FR53" s="92"/>
      <c r="FS53" s="89"/>
      <c r="FT53" s="89"/>
      <c r="FU53" s="89"/>
      <c r="FV53" s="89"/>
      <c r="FW53" s="89"/>
      <c r="FX53" s="89"/>
      <c r="FY53" s="89"/>
      <c r="FZ53" s="89"/>
      <c r="GA53" s="89"/>
      <c r="GB53" s="89"/>
      <c r="GC53" s="89"/>
      <c r="GD53" s="89"/>
      <c r="GE53" s="89"/>
      <c r="GF53" s="89"/>
      <c r="GG53" s="89"/>
      <c r="GH53" s="89"/>
      <c r="GI53" s="89"/>
      <c r="GJ53" s="89"/>
      <c r="GK53" s="89"/>
      <c r="GL53" s="89"/>
      <c r="GM53" s="89"/>
      <c r="GN53" s="89"/>
      <c r="GO53" s="89"/>
      <c r="GP53" s="89"/>
      <c r="GQ53" s="89"/>
      <c r="GR53" s="89"/>
      <c r="GS53" s="89"/>
      <c r="GT53" s="89"/>
      <c r="GU53" s="89"/>
      <c r="GV53" s="89"/>
      <c r="GW53" s="89"/>
      <c r="GX53" s="89"/>
      <c r="GY53" s="89"/>
      <c r="GZ53" s="89"/>
      <c r="HA53" s="89"/>
      <c r="HB53" s="89"/>
      <c r="HC53" s="89"/>
      <c r="HD53" s="89"/>
      <c r="HE53" s="89"/>
      <c r="HF53" s="89"/>
      <c r="HG53" s="89"/>
      <c r="HH53" s="89"/>
      <c r="HI53" s="89"/>
      <c r="HJ53" s="89"/>
      <c r="HK53" s="89"/>
      <c r="HL53" s="89"/>
      <c r="HM53" s="89"/>
      <c r="HN53" s="89"/>
      <c r="HO53" s="89"/>
      <c r="HP53" s="89"/>
      <c r="HQ53" s="89"/>
      <c r="HR53" s="89"/>
      <c r="HS53" s="89"/>
      <c r="HT53" s="89"/>
      <c r="HU53" s="89"/>
      <c r="HV53" s="89"/>
      <c r="HW53" s="89"/>
      <c r="HX53" s="89"/>
      <c r="HY53" s="89"/>
      <c r="HZ53" s="89"/>
      <c r="IA53" s="89"/>
      <c r="IB53" s="89"/>
      <c r="IC53" s="89"/>
      <c r="ID53" s="89"/>
      <c r="IE53" s="89"/>
      <c r="IF53" s="89"/>
      <c r="IG53" s="89"/>
      <c r="IH53" s="89"/>
      <c r="II53" s="89"/>
      <c r="IJ53" s="89"/>
      <c r="IK53" s="89"/>
      <c r="IL53" s="89"/>
      <c r="IM53" s="89"/>
      <c r="IN53" s="89"/>
      <c r="IO53" s="89"/>
      <c r="IP53" s="89"/>
      <c r="IQ53" s="89"/>
      <c r="IR53" s="89"/>
      <c r="IS53" s="89"/>
      <c r="IT53" s="89"/>
      <c r="IU53" s="89"/>
      <c r="IV53" s="89"/>
    </row>
    <row r="54" spans="1:256" s="87" customFormat="1" ht="17.25">
      <c r="A54" s="109" t="s">
        <v>102</v>
      </c>
      <c r="B54" s="110" t="s">
        <v>103</v>
      </c>
      <c r="C54" s="111"/>
      <c r="D54" s="107"/>
      <c r="E54" s="107"/>
      <c r="F54" s="113"/>
      <c r="G54" s="113"/>
      <c r="FF54" s="83"/>
      <c r="FG54" s="83"/>
      <c r="FH54" s="92"/>
      <c r="FI54" s="92"/>
      <c r="FJ54" s="92"/>
      <c r="FK54" s="92"/>
      <c r="FL54" s="92"/>
      <c r="FM54" s="92"/>
      <c r="FN54" s="92"/>
      <c r="FO54" s="92"/>
      <c r="FP54" s="92"/>
      <c r="FQ54" s="92"/>
      <c r="FR54" s="92"/>
      <c r="FS54" s="89"/>
      <c r="FT54" s="89"/>
      <c r="FU54" s="89"/>
      <c r="FV54" s="89"/>
      <c r="FW54" s="89"/>
      <c r="FX54" s="89"/>
      <c r="FY54" s="89"/>
      <c r="FZ54" s="89"/>
      <c r="GA54" s="89"/>
      <c r="GB54" s="89"/>
      <c r="GC54" s="89"/>
      <c r="GD54" s="89"/>
      <c r="GE54" s="89"/>
      <c r="GF54" s="89"/>
      <c r="GG54" s="89"/>
      <c r="GH54" s="89"/>
      <c r="GI54" s="89"/>
      <c r="GJ54" s="89"/>
      <c r="GK54" s="89"/>
      <c r="GL54" s="89"/>
      <c r="GM54" s="89"/>
      <c r="GN54" s="89"/>
      <c r="GO54" s="89"/>
      <c r="GP54" s="89"/>
      <c r="GQ54" s="89"/>
      <c r="GR54" s="89"/>
      <c r="GS54" s="89"/>
      <c r="GT54" s="89"/>
      <c r="GU54" s="89"/>
      <c r="GV54" s="89"/>
      <c r="GW54" s="89"/>
      <c r="GX54" s="89"/>
      <c r="GY54" s="89"/>
      <c r="GZ54" s="89"/>
      <c r="HA54" s="89"/>
      <c r="HB54" s="89"/>
      <c r="HC54" s="89"/>
      <c r="HD54" s="89"/>
      <c r="HE54" s="89"/>
      <c r="HF54" s="89"/>
      <c r="HG54" s="89"/>
      <c r="HH54" s="89"/>
      <c r="HI54" s="89"/>
      <c r="HJ54" s="89"/>
      <c r="HK54" s="89"/>
      <c r="HL54" s="89"/>
      <c r="HM54" s="89"/>
      <c r="HN54" s="89"/>
      <c r="HO54" s="89"/>
      <c r="HP54" s="89"/>
      <c r="HQ54" s="89"/>
      <c r="HR54" s="89"/>
      <c r="HS54" s="89"/>
      <c r="HT54" s="89"/>
      <c r="HU54" s="89"/>
      <c r="HV54" s="89"/>
      <c r="HW54" s="89"/>
      <c r="HX54" s="89"/>
      <c r="HY54" s="89"/>
      <c r="HZ54" s="89"/>
      <c r="IA54" s="89"/>
      <c r="IB54" s="89"/>
      <c r="IC54" s="89"/>
      <c r="ID54" s="89"/>
      <c r="IE54" s="89"/>
      <c r="IF54" s="89"/>
      <c r="IG54" s="89"/>
      <c r="IH54" s="89"/>
      <c r="II54" s="89"/>
      <c r="IJ54" s="89"/>
      <c r="IK54" s="89"/>
      <c r="IL54" s="89"/>
      <c r="IM54" s="89"/>
      <c r="IN54" s="89"/>
      <c r="IO54" s="89"/>
      <c r="IP54" s="89"/>
      <c r="IQ54" s="89"/>
      <c r="IR54" s="89"/>
      <c r="IS54" s="89"/>
      <c r="IT54" s="89"/>
      <c r="IU54" s="89"/>
      <c r="IV54" s="89"/>
    </row>
    <row r="55" spans="1:256" s="87" customFormat="1" ht="17.25">
      <c r="A55" s="105" t="s">
        <v>104</v>
      </c>
      <c r="B55" s="106" t="s">
        <v>105</v>
      </c>
      <c r="C55" s="107">
        <f>+C56</f>
        <v>0</v>
      </c>
      <c r="D55" s="107">
        <f>+D56</f>
        <v>0</v>
      </c>
      <c r="E55" s="107">
        <f>+E56</f>
        <v>0</v>
      </c>
      <c r="F55" s="108">
        <f>+F56</f>
        <v>0</v>
      </c>
      <c r="G55" s="108">
        <f>+G56</f>
        <v>0</v>
      </c>
      <c r="FF55" s="83"/>
      <c r="FG55" s="83"/>
      <c r="FH55" s="92"/>
      <c r="FI55" s="92"/>
      <c r="FJ55" s="92"/>
      <c r="FK55" s="92"/>
      <c r="FL55" s="92"/>
      <c r="FM55" s="92"/>
      <c r="FN55" s="92"/>
      <c r="FO55" s="92"/>
      <c r="FP55" s="92"/>
      <c r="FQ55" s="92"/>
      <c r="FR55" s="92"/>
      <c r="FS55" s="89"/>
      <c r="FT55" s="89"/>
      <c r="FU55" s="89"/>
      <c r="FV55" s="89"/>
      <c r="FW55" s="89"/>
      <c r="FX55" s="89"/>
      <c r="FY55" s="89"/>
      <c r="FZ55" s="89"/>
      <c r="GA55" s="89"/>
      <c r="GB55" s="89"/>
      <c r="GC55" s="89"/>
      <c r="GD55" s="89"/>
      <c r="GE55" s="89"/>
      <c r="GF55" s="89"/>
      <c r="GG55" s="89"/>
      <c r="GH55" s="89"/>
      <c r="GI55" s="89"/>
      <c r="GJ55" s="89"/>
      <c r="GK55" s="89"/>
      <c r="GL55" s="89"/>
      <c r="GM55" s="89"/>
      <c r="GN55" s="89"/>
      <c r="GO55" s="89"/>
      <c r="GP55" s="89"/>
      <c r="GQ55" s="89"/>
      <c r="GR55" s="89"/>
      <c r="GS55" s="89"/>
      <c r="GT55" s="89"/>
      <c r="GU55" s="89"/>
      <c r="GV55" s="89"/>
      <c r="GW55" s="89"/>
      <c r="GX55" s="89"/>
      <c r="GY55" s="89"/>
      <c r="GZ55" s="89"/>
      <c r="HA55" s="89"/>
      <c r="HB55" s="89"/>
      <c r="HC55" s="89"/>
      <c r="HD55" s="89"/>
      <c r="HE55" s="89"/>
      <c r="HF55" s="89"/>
      <c r="HG55" s="89"/>
      <c r="HH55" s="89"/>
      <c r="HI55" s="89"/>
      <c r="HJ55" s="89"/>
      <c r="HK55" s="89"/>
      <c r="HL55" s="89"/>
      <c r="HM55" s="89"/>
      <c r="HN55" s="89"/>
      <c r="HO55" s="89"/>
      <c r="HP55" s="89"/>
      <c r="HQ55" s="89"/>
      <c r="HR55" s="89"/>
      <c r="HS55" s="89"/>
      <c r="HT55" s="89"/>
      <c r="HU55" s="89"/>
      <c r="HV55" s="89"/>
      <c r="HW55" s="89"/>
      <c r="HX55" s="89"/>
      <c r="HY55" s="89"/>
      <c r="HZ55" s="89"/>
      <c r="IA55" s="89"/>
      <c r="IB55" s="89"/>
      <c r="IC55" s="89"/>
      <c r="ID55" s="89"/>
      <c r="IE55" s="89"/>
      <c r="IF55" s="89"/>
      <c r="IG55" s="89"/>
      <c r="IH55" s="89"/>
      <c r="II55" s="89"/>
      <c r="IJ55" s="89"/>
      <c r="IK55" s="89"/>
      <c r="IL55" s="89"/>
      <c r="IM55" s="89"/>
      <c r="IN55" s="89"/>
      <c r="IO55" s="89"/>
      <c r="IP55" s="89"/>
      <c r="IQ55" s="89"/>
      <c r="IR55" s="89"/>
      <c r="IS55" s="89"/>
      <c r="IT55" s="89"/>
      <c r="IU55" s="89"/>
      <c r="IV55" s="89"/>
    </row>
    <row r="56" spans="1:256" s="87" customFormat="1" ht="17.25">
      <c r="A56" s="109" t="s">
        <v>106</v>
      </c>
      <c r="B56" s="110" t="s">
        <v>107</v>
      </c>
      <c r="C56" s="111"/>
      <c r="D56" s="107"/>
      <c r="E56" s="107"/>
      <c r="F56" s="113"/>
      <c r="G56" s="113"/>
      <c r="FF56" s="83"/>
      <c r="FG56" s="83"/>
      <c r="FH56" s="92"/>
      <c r="FI56" s="92"/>
      <c r="FJ56" s="92"/>
      <c r="FK56" s="92"/>
      <c r="FL56" s="92"/>
      <c r="FM56" s="92"/>
      <c r="FN56" s="92"/>
      <c r="FO56" s="92"/>
      <c r="FP56" s="92"/>
      <c r="FQ56" s="92"/>
      <c r="FR56" s="92"/>
      <c r="FS56" s="89"/>
      <c r="FT56" s="89"/>
      <c r="FU56" s="89"/>
      <c r="FV56" s="89"/>
      <c r="FW56" s="89"/>
      <c r="FX56" s="89"/>
      <c r="FY56" s="89"/>
      <c r="FZ56" s="89"/>
      <c r="GA56" s="89"/>
      <c r="GB56" s="89"/>
      <c r="GC56" s="89"/>
      <c r="GD56" s="89"/>
      <c r="GE56" s="89"/>
      <c r="GF56" s="89"/>
      <c r="GG56" s="89"/>
      <c r="GH56" s="89"/>
      <c r="GI56" s="89"/>
      <c r="GJ56" s="89"/>
      <c r="GK56" s="89"/>
      <c r="GL56" s="89"/>
      <c r="GM56" s="89"/>
      <c r="GN56" s="89"/>
      <c r="GO56" s="89"/>
      <c r="GP56" s="89"/>
      <c r="GQ56" s="89"/>
      <c r="GR56" s="89"/>
      <c r="GS56" s="89"/>
      <c r="GT56" s="89"/>
      <c r="GU56" s="89"/>
      <c r="GV56" s="89"/>
      <c r="GW56" s="89"/>
      <c r="GX56" s="89"/>
      <c r="GY56" s="89"/>
      <c r="GZ56" s="89"/>
      <c r="HA56" s="89"/>
      <c r="HB56" s="89"/>
      <c r="HC56" s="89"/>
      <c r="HD56" s="89"/>
      <c r="HE56" s="89"/>
      <c r="HF56" s="89"/>
      <c r="HG56" s="89"/>
      <c r="HH56" s="89"/>
      <c r="HI56" s="89"/>
      <c r="HJ56" s="89"/>
      <c r="HK56" s="89"/>
      <c r="HL56" s="89"/>
      <c r="HM56" s="89"/>
      <c r="HN56" s="89"/>
      <c r="HO56" s="89"/>
      <c r="HP56" s="89"/>
      <c r="HQ56" s="89"/>
      <c r="HR56" s="89"/>
      <c r="HS56" s="89"/>
      <c r="HT56" s="89"/>
      <c r="HU56" s="89"/>
      <c r="HV56" s="89"/>
      <c r="HW56" s="89"/>
      <c r="HX56" s="89"/>
      <c r="HY56" s="89"/>
      <c r="HZ56" s="89"/>
      <c r="IA56" s="89"/>
      <c r="IB56" s="89"/>
      <c r="IC56" s="89"/>
      <c r="ID56" s="89"/>
      <c r="IE56" s="89"/>
      <c r="IF56" s="89"/>
      <c r="IG56" s="89"/>
      <c r="IH56" s="89"/>
      <c r="II56" s="89"/>
      <c r="IJ56" s="89"/>
      <c r="IK56" s="89"/>
      <c r="IL56" s="89"/>
      <c r="IM56" s="89"/>
      <c r="IN56" s="89"/>
      <c r="IO56" s="89"/>
      <c r="IP56" s="89"/>
      <c r="IQ56" s="89"/>
      <c r="IR56" s="89"/>
      <c r="IS56" s="89"/>
      <c r="IT56" s="89"/>
      <c r="IU56" s="89"/>
      <c r="IV56" s="89"/>
    </row>
    <row r="57" spans="1:256" s="87" customFormat="1" ht="17.25">
      <c r="A57" s="105" t="s">
        <v>108</v>
      </c>
      <c r="B57" s="106" t="s">
        <v>109</v>
      </c>
      <c r="C57" s="107">
        <f>+C58+C62</f>
        <v>0</v>
      </c>
      <c r="D57" s="107">
        <f>+D58+D62</f>
        <v>203160</v>
      </c>
      <c r="E57" s="107">
        <f>+E58+E62</f>
        <v>203160</v>
      </c>
      <c r="F57" s="108">
        <f>+F58+F62</f>
        <v>176991.64</v>
      </c>
      <c r="G57" s="108">
        <f>+G58+G62</f>
        <v>30114.72</v>
      </c>
      <c r="FH57" s="123"/>
      <c r="FI57" s="123"/>
      <c r="FJ57" s="123"/>
      <c r="FK57" s="123"/>
      <c r="FL57" s="123"/>
      <c r="FM57" s="123"/>
      <c r="FN57" s="123"/>
      <c r="FO57" s="123"/>
      <c r="FP57" s="123"/>
      <c r="FQ57" s="123"/>
      <c r="FR57" s="123"/>
      <c r="FS57" s="125"/>
      <c r="FT57" s="125"/>
      <c r="FU57" s="125"/>
      <c r="FV57" s="125"/>
      <c r="FW57" s="125"/>
      <c r="FX57" s="125"/>
      <c r="FY57" s="125"/>
      <c r="FZ57" s="125"/>
      <c r="GA57" s="125"/>
      <c r="GB57" s="125"/>
      <c r="GC57" s="125"/>
      <c r="GD57" s="125"/>
      <c r="GE57" s="125"/>
      <c r="GF57" s="125"/>
      <c r="GG57" s="125"/>
      <c r="GH57" s="125"/>
      <c r="GI57" s="125"/>
      <c r="GJ57" s="125"/>
      <c r="GK57" s="125"/>
      <c r="GL57" s="125"/>
      <c r="GM57" s="125"/>
      <c r="GN57" s="125"/>
      <c r="GO57" s="125"/>
      <c r="GP57" s="125"/>
      <c r="GQ57" s="125"/>
      <c r="GR57" s="125"/>
      <c r="GS57" s="125"/>
      <c r="GT57" s="125"/>
      <c r="GU57" s="125"/>
      <c r="GV57" s="125"/>
      <c r="GW57" s="125"/>
      <c r="GX57" s="125"/>
      <c r="GY57" s="125"/>
      <c r="GZ57" s="125"/>
      <c r="HA57" s="125"/>
      <c r="HB57" s="125"/>
      <c r="HC57" s="125"/>
      <c r="HD57" s="125"/>
      <c r="HE57" s="125"/>
      <c r="HF57" s="125"/>
      <c r="HG57" s="125"/>
      <c r="HH57" s="125"/>
      <c r="HI57" s="125"/>
      <c r="HJ57" s="125"/>
      <c r="HK57" s="125"/>
      <c r="HL57" s="125"/>
      <c r="HM57" s="125"/>
      <c r="HN57" s="125"/>
      <c r="HO57" s="125"/>
      <c r="HP57" s="125"/>
      <c r="HQ57" s="125"/>
      <c r="HR57" s="125"/>
      <c r="HS57" s="125"/>
      <c r="HT57" s="125"/>
      <c r="HU57" s="125"/>
      <c r="HV57" s="125"/>
      <c r="HW57" s="125"/>
      <c r="HX57" s="125"/>
      <c r="HY57" s="125"/>
      <c r="HZ57" s="125"/>
      <c r="IA57" s="125"/>
      <c r="IB57" s="125"/>
      <c r="IC57" s="125"/>
      <c r="ID57" s="125"/>
      <c r="IE57" s="125"/>
      <c r="IF57" s="125"/>
      <c r="IG57" s="125"/>
      <c r="IH57" s="125"/>
      <c r="II57" s="125"/>
      <c r="IJ57" s="125"/>
      <c r="IK57" s="125"/>
      <c r="IL57" s="125"/>
      <c r="IM57" s="125"/>
      <c r="IN57" s="125"/>
      <c r="IO57" s="125"/>
      <c r="IP57" s="125"/>
      <c r="IQ57" s="125"/>
      <c r="IR57" s="125"/>
      <c r="IS57" s="125"/>
      <c r="IT57" s="125"/>
      <c r="IU57" s="125"/>
      <c r="IV57" s="125"/>
    </row>
    <row r="58" spans="1:256" s="87" customFormat="1" ht="17.25">
      <c r="A58" s="105" t="s">
        <v>110</v>
      </c>
      <c r="B58" s="106" t="s">
        <v>111</v>
      </c>
      <c r="C58" s="107">
        <f>C61+C59+C60</f>
        <v>0</v>
      </c>
      <c r="D58" s="107">
        <f>D61+D59+D60</f>
        <v>158000</v>
      </c>
      <c r="E58" s="107">
        <f>E61+E59+E60</f>
        <v>158000</v>
      </c>
      <c r="F58" s="108">
        <f>F61+F59+F60</f>
        <v>176991.64</v>
      </c>
      <c r="G58" s="108">
        <f>G61+G59+G60</f>
        <v>30114.72</v>
      </c>
      <c r="FF58" s="83"/>
      <c r="FG58" s="83"/>
      <c r="FH58" s="92"/>
      <c r="FI58" s="92"/>
      <c r="FJ58" s="92"/>
      <c r="FK58" s="92"/>
      <c r="FL58" s="92"/>
      <c r="FM58" s="92"/>
      <c r="FN58" s="92"/>
      <c r="FO58" s="92"/>
      <c r="FP58" s="92"/>
      <c r="FQ58" s="92"/>
      <c r="FR58" s="92"/>
      <c r="FS58" s="89"/>
      <c r="FT58" s="89"/>
      <c r="FU58" s="89"/>
      <c r="FV58" s="89"/>
      <c r="FW58" s="89"/>
      <c r="FX58" s="89"/>
      <c r="FY58" s="89"/>
      <c r="FZ58" s="89"/>
      <c r="GA58" s="89"/>
      <c r="GB58" s="89"/>
      <c r="GC58" s="89"/>
      <c r="GD58" s="89"/>
      <c r="GE58" s="89"/>
      <c r="GF58" s="89"/>
      <c r="GG58" s="89"/>
      <c r="GH58" s="89"/>
      <c r="GI58" s="89"/>
      <c r="GJ58" s="89"/>
      <c r="GK58" s="89"/>
      <c r="GL58" s="89"/>
      <c r="GM58" s="89"/>
      <c r="GN58" s="89"/>
      <c r="GO58" s="89"/>
      <c r="GP58" s="89"/>
      <c r="GQ58" s="89"/>
      <c r="GR58" s="89"/>
      <c r="GS58" s="89"/>
      <c r="GT58" s="89"/>
      <c r="GU58" s="89"/>
      <c r="GV58" s="89"/>
      <c r="GW58" s="89"/>
      <c r="GX58" s="89"/>
      <c r="GY58" s="89"/>
      <c r="GZ58" s="89"/>
      <c r="HA58" s="89"/>
      <c r="HB58" s="89"/>
      <c r="HC58" s="89"/>
      <c r="HD58" s="89"/>
      <c r="HE58" s="89"/>
      <c r="HF58" s="89"/>
      <c r="HG58" s="89"/>
      <c r="HH58" s="89"/>
      <c r="HI58" s="89"/>
      <c r="HJ58" s="89"/>
      <c r="HK58" s="89"/>
      <c r="HL58" s="89"/>
      <c r="HM58" s="89"/>
      <c r="HN58" s="89"/>
      <c r="HO58" s="89"/>
      <c r="HP58" s="89"/>
      <c r="HQ58" s="89"/>
      <c r="HR58" s="89"/>
      <c r="HS58" s="89"/>
      <c r="HT58" s="89"/>
      <c r="HU58" s="89"/>
      <c r="HV58" s="89"/>
      <c r="HW58" s="89"/>
      <c r="HX58" s="89"/>
      <c r="HY58" s="89"/>
      <c r="HZ58" s="89"/>
      <c r="IA58" s="89"/>
      <c r="IB58" s="89"/>
      <c r="IC58" s="89"/>
      <c r="ID58" s="89"/>
      <c r="IE58" s="89"/>
      <c r="IF58" s="89"/>
      <c r="IG58" s="89"/>
      <c r="IH58" s="89"/>
      <c r="II58" s="89"/>
      <c r="IJ58" s="89"/>
      <c r="IK58" s="89"/>
      <c r="IL58" s="89"/>
      <c r="IM58" s="89"/>
      <c r="IN58" s="89"/>
      <c r="IO58" s="89"/>
      <c r="IP58" s="89"/>
      <c r="IQ58" s="89"/>
      <c r="IR58" s="89"/>
      <c r="IS58" s="89"/>
      <c r="IT58" s="89"/>
      <c r="IU58" s="89"/>
      <c r="IV58" s="89"/>
    </row>
    <row r="59" spans="1:256" s="87" customFormat="1" ht="17.25">
      <c r="A59" s="118" t="s">
        <v>112</v>
      </c>
      <c r="B59" s="106" t="s">
        <v>113</v>
      </c>
      <c r="C59" s="107"/>
      <c r="D59" s="107"/>
      <c r="E59" s="107"/>
      <c r="F59" s="108"/>
      <c r="G59" s="108"/>
      <c r="FF59" s="83"/>
      <c r="FG59" s="83"/>
      <c r="FH59" s="92"/>
      <c r="FI59" s="92"/>
      <c r="FJ59" s="92"/>
      <c r="FK59" s="92"/>
      <c r="FL59" s="92"/>
      <c r="FM59" s="92"/>
      <c r="FN59" s="92"/>
      <c r="FO59" s="92"/>
      <c r="FP59" s="92"/>
      <c r="FQ59" s="92"/>
      <c r="FR59" s="92"/>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row>
    <row r="60" spans="1:256" s="87" customFormat="1" ht="34.5">
      <c r="A60" s="118" t="s">
        <v>114</v>
      </c>
      <c r="B60" s="106" t="s">
        <v>115</v>
      </c>
      <c r="C60" s="107"/>
      <c r="D60" s="107"/>
      <c r="E60" s="107"/>
      <c r="F60" s="108"/>
      <c r="G60" s="108"/>
      <c r="FF60" s="83"/>
      <c r="FG60" s="83"/>
      <c r="FH60" s="92"/>
      <c r="FI60" s="92"/>
      <c r="FJ60" s="92"/>
      <c r="FK60" s="92"/>
      <c r="FL60" s="92"/>
      <c r="FM60" s="92"/>
      <c r="FN60" s="92"/>
      <c r="FO60" s="92"/>
      <c r="FP60" s="92"/>
      <c r="FQ60" s="92"/>
      <c r="FR60" s="92"/>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row>
    <row r="61" spans="1:256" s="87" customFormat="1" ht="17.25">
      <c r="A61" s="109" t="s">
        <v>116</v>
      </c>
      <c r="B61" s="119" t="s">
        <v>117</v>
      </c>
      <c r="C61" s="111"/>
      <c r="D61" s="107">
        <v>158000</v>
      </c>
      <c r="E61" s="107">
        <v>158000</v>
      </c>
      <c r="F61" s="113">
        <f>12650+11100+21399.67+8590.81+12344.97+7446.83+29408.95+6560.8+4073.8+15078.77+18222.32+30114.72</f>
        <v>176991.64</v>
      </c>
      <c r="G61" s="113">
        <v>30114.72</v>
      </c>
      <c r="FF61" s="83"/>
      <c r="FG61" s="83"/>
      <c r="FH61" s="92"/>
      <c r="FI61" s="92"/>
      <c r="FJ61" s="92"/>
      <c r="FK61" s="92"/>
      <c r="FL61" s="92"/>
      <c r="FM61" s="92"/>
      <c r="FN61" s="92"/>
      <c r="FO61" s="92"/>
      <c r="FP61" s="92"/>
      <c r="FQ61" s="92"/>
      <c r="FR61" s="92"/>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row>
    <row r="62" spans="1:256" s="87" customFormat="1" ht="34.5">
      <c r="A62" s="105" t="s">
        <v>118</v>
      </c>
      <c r="B62" s="106" t="s">
        <v>119</v>
      </c>
      <c r="C62" s="107">
        <f>C63</f>
        <v>0</v>
      </c>
      <c r="D62" s="107">
        <f>D63</f>
        <v>45160</v>
      </c>
      <c r="E62" s="107">
        <f>E63</f>
        <v>45160</v>
      </c>
      <c r="F62" s="108">
        <f>F63</f>
        <v>0</v>
      </c>
      <c r="G62" s="108">
        <f>G63</f>
        <v>0</v>
      </c>
      <c r="FF62" s="83"/>
      <c r="FG62" s="83"/>
      <c r="FH62" s="92"/>
      <c r="FI62" s="92"/>
      <c r="FJ62" s="92"/>
      <c r="FK62" s="92"/>
      <c r="FL62" s="92"/>
      <c r="FM62" s="92"/>
      <c r="FN62" s="92"/>
      <c r="FO62" s="92"/>
      <c r="FP62" s="92"/>
      <c r="FQ62" s="92"/>
      <c r="FR62" s="92"/>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row>
    <row r="63" spans="1:256" s="87" customFormat="1" ht="17.25">
      <c r="A63" s="109" t="s">
        <v>120</v>
      </c>
      <c r="B63" s="119" t="s">
        <v>121</v>
      </c>
      <c r="C63" s="111"/>
      <c r="D63" s="107">
        <v>45160</v>
      </c>
      <c r="E63" s="107">
        <v>45160</v>
      </c>
      <c r="F63" s="113"/>
      <c r="G63" s="113"/>
      <c r="FF63" s="83"/>
      <c r="FG63" s="83"/>
      <c r="FH63" s="92"/>
      <c r="FI63" s="92"/>
      <c r="FJ63" s="92"/>
      <c r="FK63" s="92"/>
      <c r="FL63" s="92"/>
      <c r="FM63" s="92"/>
      <c r="FN63" s="92"/>
      <c r="FO63" s="92"/>
      <c r="FP63" s="92"/>
      <c r="FQ63" s="92"/>
      <c r="FR63" s="92"/>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row>
    <row r="64" spans="1:256" s="87" customFormat="1" ht="17.25">
      <c r="A64" s="105" t="s">
        <v>122</v>
      </c>
      <c r="B64" s="106" t="s">
        <v>123</v>
      </c>
      <c r="C64" s="107">
        <f>+C65</f>
        <v>0</v>
      </c>
      <c r="D64" s="107">
        <f>+D65</f>
        <v>46635400</v>
      </c>
      <c r="E64" s="107">
        <f>+E65</f>
        <v>46635400</v>
      </c>
      <c r="F64" s="108">
        <f>+F65</f>
        <v>-426</v>
      </c>
      <c r="G64" s="108">
        <f>+G65</f>
        <v>0</v>
      </c>
      <c r="FF64" s="83"/>
      <c r="FG64" s="83"/>
      <c r="FH64" s="92"/>
      <c r="FI64" s="92"/>
      <c r="FJ64" s="92"/>
      <c r="FK64" s="92"/>
      <c r="FL64" s="92"/>
      <c r="FM64" s="92"/>
      <c r="FN64" s="92"/>
      <c r="FO64" s="92"/>
      <c r="FP64" s="92"/>
      <c r="FQ64" s="92"/>
      <c r="FR64" s="92"/>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c r="IS64" s="89"/>
      <c r="IT64" s="89"/>
      <c r="IU64" s="89"/>
      <c r="IV64" s="89"/>
    </row>
    <row r="65" spans="1:256" s="87" customFormat="1" ht="34.5">
      <c r="A65" s="105" t="s">
        <v>124</v>
      </c>
      <c r="B65" s="106" t="s">
        <v>125</v>
      </c>
      <c r="C65" s="107">
        <f>+C66+C79</f>
        <v>0</v>
      </c>
      <c r="D65" s="107">
        <f>+D66+D79</f>
        <v>46635400</v>
      </c>
      <c r="E65" s="107">
        <f>+E66+E79</f>
        <v>46635400</v>
      </c>
      <c r="F65" s="108">
        <f>+F66+F79</f>
        <v>-426</v>
      </c>
      <c r="G65" s="108">
        <f>+G66+G79</f>
        <v>0</v>
      </c>
      <c r="FF65" s="83"/>
      <c r="FG65" s="83"/>
      <c r="FH65" s="92"/>
      <c r="FI65" s="92"/>
      <c r="FJ65" s="92"/>
      <c r="FK65" s="92"/>
      <c r="FL65" s="92"/>
      <c r="FM65" s="92"/>
      <c r="FN65" s="92"/>
      <c r="FO65" s="92"/>
      <c r="FP65" s="92"/>
      <c r="FQ65" s="92"/>
      <c r="FR65" s="92"/>
      <c r="FS65" s="92"/>
      <c r="FT65" s="92"/>
      <c r="FU65" s="92"/>
      <c r="FV65" s="92"/>
      <c r="FW65" s="92"/>
      <c r="FX65" s="92"/>
      <c r="FY65" s="92"/>
      <c r="FZ65" s="92"/>
      <c r="GA65" s="92"/>
      <c r="GB65" s="92"/>
      <c r="GC65" s="92"/>
      <c r="GD65" s="92"/>
      <c r="GE65" s="92"/>
      <c r="GF65" s="92"/>
      <c r="GG65" s="92"/>
      <c r="GH65" s="92"/>
      <c r="GI65" s="92"/>
      <c r="GJ65" s="92"/>
      <c r="GK65" s="92"/>
      <c r="GL65" s="92"/>
      <c r="GM65" s="92"/>
      <c r="GN65" s="92"/>
      <c r="GO65" s="92"/>
      <c r="GP65" s="92"/>
      <c r="GQ65" s="92"/>
      <c r="GR65" s="92"/>
      <c r="GS65" s="92"/>
      <c r="GT65" s="92"/>
      <c r="GU65" s="92"/>
      <c r="GV65" s="92"/>
      <c r="GW65" s="92"/>
      <c r="GX65" s="92"/>
      <c r="GY65" s="92"/>
      <c r="GZ65" s="92"/>
      <c r="HA65" s="92"/>
      <c r="HB65" s="92"/>
      <c r="HC65" s="92"/>
      <c r="HD65" s="92"/>
      <c r="HE65" s="92"/>
      <c r="HF65" s="92"/>
      <c r="HG65" s="92"/>
      <c r="HH65" s="92"/>
      <c r="HI65" s="92"/>
      <c r="HJ65" s="92"/>
      <c r="HK65" s="92"/>
      <c r="HL65" s="92"/>
      <c r="HM65" s="92"/>
      <c r="HN65" s="92"/>
      <c r="HO65" s="92"/>
      <c r="HP65" s="92"/>
      <c r="HQ65" s="92"/>
      <c r="HR65" s="92"/>
      <c r="HS65" s="92"/>
      <c r="HT65" s="92"/>
      <c r="HU65" s="92"/>
      <c r="HV65" s="92"/>
      <c r="HW65" s="92"/>
      <c r="HX65" s="92"/>
      <c r="HY65" s="92"/>
      <c r="HZ65" s="92"/>
      <c r="IA65" s="92"/>
      <c r="IB65" s="92"/>
      <c r="IC65" s="92"/>
      <c r="ID65" s="92"/>
      <c r="IE65" s="92"/>
      <c r="IF65" s="92"/>
      <c r="IG65" s="92"/>
      <c r="IH65" s="92"/>
      <c r="II65" s="92"/>
      <c r="IJ65" s="92"/>
      <c r="IK65" s="92"/>
      <c r="IL65" s="92"/>
      <c r="IM65" s="92"/>
      <c r="IN65" s="92"/>
      <c r="IO65" s="92"/>
      <c r="IP65" s="92"/>
      <c r="IQ65" s="92"/>
      <c r="IR65" s="92"/>
      <c r="IS65" s="92"/>
      <c r="IT65" s="92"/>
      <c r="IU65" s="92"/>
      <c r="IV65" s="92"/>
    </row>
    <row r="66" spans="1:256" s="87" customFormat="1" ht="17.25">
      <c r="A66" s="105" t="s">
        <v>126</v>
      </c>
      <c r="B66" s="106" t="s">
        <v>127</v>
      </c>
      <c r="C66" s="107">
        <f>C67+C68+C69+C70+C72+C73+C74+C75+C71+C76+C77+C78</f>
        <v>0</v>
      </c>
      <c r="D66" s="107">
        <f>D67+D68+D69+D70+D72+D73+D74+D75+D71+D76+D77+D78</f>
        <v>46635400</v>
      </c>
      <c r="E66" s="107">
        <f>E67+E68+E69+E70+E72+E73+E74+E75+E71+E76+E77+E78</f>
        <v>46635400</v>
      </c>
      <c r="F66" s="108">
        <f>F67+F68+F69+F70+F72+F73+F74+F75+F71+F76+F77+F78</f>
        <v>0</v>
      </c>
      <c r="G66" s="108">
        <f>G67+G68+G69+G70+G72+G73+G74+G75+G71+G76+G77+G78</f>
        <v>0</v>
      </c>
      <c r="FF66" s="83"/>
      <c r="FG66" s="83"/>
      <c r="FH66" s="92"/>
      <c r="FI66" s="92"/>
      <c r="FJ66" s="92"/>
      <c r="FK66" s="92"/>
      <c r="FL66" s="92"/>
      <c r="FM66" s="92"/>
      <c r="FN66" s="92"/>
      <c r="FO66" s="92"/>
      <c r="FP66" s="92"/>
      <c r="FQ66" s="92"/>
      <c r="FR66" s="92"/>
      <c r="FS66" s="92"/>
      <c r="FT66" s="92"/>
      <c r="FU66" s="92"/>
      <c r="FV66" s="92"/>
      <c r="FW66" s="92"/>
      <c r="FX66" s="92"/>
      <c r="FY66" s="92"/>
      <c r="FZ66" s="92"/>
      <c r="GA66" s="92"/>
      <c r="GB66" s="92"/>
      <c r="GC66" s="92"/>
      <c r="GD66" s="92"/>
      <c r="GE66" s="92"/>
      <c r="GF66" s="92"/>
      <c r="GG66" s="92"/>
      <c r="GH66" s="92"/>
      <c r="GI66" s="92"/>
      <c r="GJ66" s="92"/>
      <c r="GK66" s="92"/>
      <c r="GL66" s="92"/>
      <c r="GM66" s="92"/>
      <c r="GN66" s="92"/>
      <c r="GO66" s="92"/>
      <c r="GP66" s="92"/>
      <c r="GQ66" s="92"/>
      <c r="GR66" s="92"/>
      <c r="GS66" s="92"/>
      <c r="GT66" s="92"/>
      <c r="GU66" s="92"/>
      <c r="GV66" s="92"/>
      <c r="GW66" s="92"/>
      <c r="GX66" s="92"/>
      <c r="GY66" s="92"/>
      <c r="GZ66" s="92"/>
      <c r="HA66" s="92"/>
      <c r="HB66" s="92"/>
      <c r="HC66" s="92"/>
      <c r="HD66" s="92"/>
      <c r="HE66" s="92"/>
      <c r="HF66" s="92"/>
      <c r="HG66" s="92"/>
      <c r="HH66" s="92"/>
      <c r="HI66" s="92"/>
      <c r="HJ66" s="92"/>
      <c r="HK66" s="92"/>
      <c r="HL66" s="92"/>
      <c r="HM66" s="92"/>
      <c r="HN66" s="92"/>
      <c r="HO66" s="92"/>
      <c r="HP66" s="92"/>
      <c r="HQ66" s="92"/>
      <c r="HR66" s="92"/>
      <c r="HS66" s="92"/>
      <c r="HT66" s="92"/>
      <c r="HU66" s="92"/>
      <c r="HV66" s="92"/>
      <c r="HW66" s="92"/>
      <c r="HX66" s="92"/>
      <c r="HY66" s="92"/>
      <c r="HZ66" s="92"/>
      <c r="IA66" s="92"/>
      <c r="IB66" s="92"/>
      <c r="IC66" s="92"/>
      <c r="ID66" s="92"/>
      <c r="IE66" s="92"/>
      <c r="IF66" s="92"/>
      <c r="IG66" s="92"/>
      <c r="IH66" s="92"/>
      <c r="II66" s="92"/>
      <c r="IJ66" s="92"/>
      <c r="IK66" s="92"/>
      <c r="IL66" s="92"/>
      <c r="IM66" s="92"/>
      <c r="IN66" s="92"/>
      <c r="IO66" s="92"/>
      <c r="IP66" s="92"/>
      <c r="IQ66" s="92"/>
      <c r="IR66" s="92"/>
      <c r="IS66" s="92"/>
      <c r="IT66" s="92"/>
      <c r="IU66" s="92"/>
      <c r="IV66" s="92"/>
    </row>
    <row r="67" spans="1:256" s="87" customFormat="1" ht="34.5">
      <c r="A67" s="109" t="s">
        <v>128</v>
      </c>
      <c r="B67" s="119" t="s">
        <v>129</v>
      </c>
      <c r="C67" s="111"/>
      <c r="D67" s="107"/>
      <c r="E67" s="107"/>
      <c r="F67" s="113"/>
      <c r="G67" s="113"/>
      <c r="FF67" s="83"/>
      <c r="FG67" s="83"/>
      <c r="FH67" s="92"/>
      <c r="FI67" s="92"/>
      <c r="FJ67" s="92"/>
      <c r="FK67" s="92"/>
      <c r="FL67" s="92"/>
      <c r="FM67" s="92"/>
      <c r="FN67" s="92"/>
      <c r="FO67" s="92"/>
      <c r="FP67" s="92"/>
      <c r="FQ67" s="92"/>
      <c r="FR67" s="92"/>
      <c r="FS67" s="92"/>
      <c r="FT67" s="92"/>
      <c r="FU67" s="92"/>
      <c r="FV67" s="92"/>
      <c r="FW67" s="92"/>
      <c r="FX67" s="92"/>
      <c r="FY67" s="92"/>
      <c r="FZ67" s="92"/>
      <c r="GA67" s="92"/>
      <c r="GB67" s="92"/>
      <c r="GC67" s="92"/>
      <c r="GD67" s="92"/>
      <c r="GE67" s="92"/>
      <c r="GF67" s="92"/>
      <c r="GG67" s="92"/>
      <c r="GH67" s="92"/>
      <c r="GI67" s="92"/>
      <c r="GJ67" s="92"/>
      <c r="GK67" s="92"/>
      <c r="GL67" s="92"/>
      <c r="GM67" s="92"/>
      <c r="GN67" s="92"/>
      <c r="GO67" s="92"/>
      <c r="GP67" s="92"/>
      <c r="GQ67" s="92"/>
      <c r="GR67" s="92"/>
      <c r="GS67" s="92"/>
      <c r="GT67" s="92"/>
      <c r="GU67" s="92"/>
      <c r="GV67" s="92"/>
      <c r="GW67" s="92"/>
      <c r="GX67" s="92"/>
      <c r="GY67" s="92"/>
      <c r="GZ67" s="92"/>
      <c r="HA67" s="92"/>
      <c r="HB67" s="92"/>
      <c r="HC67" s="92"/>
      <c r="HD67" s="92"/>
      <c r="HE67" s="92"/>
      <c r="HF67" s="92"/>
      <c r="HG67" s="92"/>
      <c r="HH67" s="92"/>
      <c r="HI67" s="92"/>
      <c r="HJ67" s="92"/>
      <c r="HK67" s="92"/>
      <c r="HL67" s="92"/>
      <c r="HM67" s="92"/>
      <c r="HN67" s="92"/>
      <c r="HO67" s="92"/>
      <c r="HP67" s="92"/>
      <c r="HQ67" s="92"/>
      <c r="HR67" s="92"/>
      <c r="HS67" s="92"/>
      <c r="HT67" s="92"/>
      <c r="HU67" s="92"/>
      <c r="HV67" s="92"/>
      <c r="HW67" s="92"/>
      <c r="HX67" s="92"/>
      <c r="HY67" s="92"/>
      <c r="HZ67" s="92"/>
      <c r="IA67" s="92"/>
      <c r="IB67" s="92"/>
      <c r="IC67" s="92"/>
      <c r="ID67" s="92"/>
      <c r="IE67" s="92"/>
      <c r="IF67" s="92"/>
      <c r="IG67" s="92"/>
      <c r="IH67" s="92"/>
      <c r="II67" s="92"/>
      <c r="IJ67" s="92"/>
      <c r="IK67" s="92"/>
      <c r="IL67" s="92"/>
      <c r="IM67" s="92"/>
      <c r="IN67" s="92"/>
      <c r="IO67" s="92"/>
      <c r="IP67" s="92"/>
      <c r="IQ67" s="92"/>
      <c r="IR67" s="92"/>
      <c r="IS67" s="92"/>
      <c r="IT67" s="92"/>
      <c r="IU67" s="92"/>
      <c r="IV67" s="92"/>
    </row>
    <row r="68" spans="1:256" s="87" customFormat="1" ht="51.75">
      <c r="A68" s="109" t="s">
        <v>130</v>
      </c>
      <c r="B68" s="119" t="s">
        <v>131</v>
      </c>
      <c r="C68" s="111"/>
      <c r="D68" s="107"/>
      <c r="E68" s="107"/>
      <c r="F68" s="113"/>
      <c r="G68" s="113"/>
      <c r="FF68" s="83"/>
      <c r="FG68" s="83"/>
      <c r="FH68" s="92"/>
      <c r="FI68" s="92"/>
      <c r="FJ68" s="92"/>
      <c r="FK68" s="92"/>
      <c r="FL68" s="92"/>
      <c r="FM68" s="92"/>
      <c r="FN68" s="92"/>
      <c r="FO68" s="92"/>
      <c r="FP68" s="92"/>
      <c r="FQ68" s="92"/>
      <c r="FR68" s="92"/>
      <c r="FS68" s="92"/>
      <c r="FT68" s="92"/>
      <c r="FU68" s="92"/>
      <c r="FV68" s="92"/>
      <c r="FW68" s="92"/>
      <c r="FX68" s="92"/>
      <c r="FY68" s="92"/>
      <c r="FZ68" s="92"/>
      <c r="GA68" s="92"/>
      <c r="GB68" s="92"/>
      <c r="GC68" s="92"/>
      <c r="GD68" s="92"/>
      <c r="GE68" s="92"/>
      <c r="GF68" s="92"/>
      <c r="GG68" s="92"/>
      <c r="GH68" s="92"/>
      <c r="GI68" s="92"/>
      <c r="GJ68" s="92"/>
      <c r="GK68" s="92"/>
      <c r="GL68" s="92"/>
      <c r="GM68" s="92"/>
      <c r="GN68" s="92"/>
      <c r="GO68" s="92"/>
      <c r="GP68" s="92"/>
      <c r="GQ68" s="92"/>
      <c r="GR68" s="92"/>
      <c r="GS68" s="92"/>
      <c r="GT68" s="92"/>
      <c r="GU68" s="92"/>
      <c r="GV68" s="92"/>
      <c r="GW68" s="92"/>
      <c r="GX68" s="92"/>
      <c r="GY68" s="92"/>
      <c r="GZ68" s="92"/>
      <c r="HA68" s="92"/>
      <c r="HB68" s="92"/>
      <c r="HC68" s="92"/>
      <c r="HD68" s="92"/>
      <c r="HE68" s="92"/>
      <c r="HF68" s="92"/>
      <c r="HG68" s="92"/>
      <c r="HH68" s="92"/>
      <c r="HI68" s="92"/>
      <c r="HJ68" s="92"/>
      <c r="HK68" s="92"/>
      <c r="HL68" s="92"/>
      <c r="HM68" s="92"/>
      <c r="HN68" s="92"/>
      <c r="HO68" s="92"/>
      <c r="HP68" s="92"/>
      <c r="HQ68" s="92"/>
      <c r="HR68" s="92"/>
      <c r="HS68" s="92"/>
      <c r="HT68" s="92"/>
      <c r="HU68" s="92"/>
      <c r="HV68" s="92"/>
      <c r="HW68" s="92"/>
      <c r="HX68" s="92"/>
      <c r="HY68" s="92"/>
      <c r="HZ68" s="92"/>
      <c r="IA68" s="92"/>
      <c r="IB68" s="92"/>
      <c r="IC68" s="92"/>
      <c r="ID68" s="92"/>
      <c r="IE68" s="92"/>
      <c r="IF68" s="92"/>
      <c r="IG68" s="92"/>
      <c r="IH68" s="92"/>
      <c r="II68" s="92"/>
      <c r="IJ68" s="92"/>
      <c r="IK68" s="92"/>
      <c r="IL68" s="92"/>
      <c r="IM68" s="92"/>
      <c r="IN68" s="92"/>
      <c r="IO68" s="92"/>
      <c r="IP68" s="92"/>
      <c r="IQ68" s="92"/>
      <c r="IR68" s="92"/>
      <c r="IS68" s="92"/>
      <c r="IT68" s="92"/>
      <c r="IU68" s="92"/>
      <c r="IV68" s="92"/>
    </row>
    <row r="69" spans="1:256" s="87" customFormat="1" ht="34.5">
      <c r="A69" s="126" t="s">
        <v>132</v>
      </c>
      <c r="B69" s="119" t="s">
        <v>133</v>
      </c>
      <c r="C69" s="111"/>
      <c r="D69" s="107">
        <v>31911770</v>
      </c>
      <c r="E69" s="107">
        <v>31911770</v>
      </c>
      <c r="F69" s="113"/>
      <c r="G69" s="113"/>
      <c r="FF69" s="83"/>
      <c r="FG69" s="83"/>
      <c r="FH69" s="92"/>
      <c r="FI69" s="92"/>
      <c r="FJ69" s="92"/>
      <c r="FK69" s="92"/>
      <c r="FL69" s="92"/>
      <c r="FM69" s="92"/>
      <c r="FN69" s="92"/>
      <c r="FO69" s="92"/>
      <c r="FP69" s="92"/>
      <c r="FQ69" s="92"/>
      <c r="FR69" s="92"/>
      <c r="FS69" s="92"/>
      <c r="FT69" s="92"/>
      <c r="FU69" s="92"/>
      <c r="FV69" s="92"/>
      <c r="FW69" s="92"/>
      <c r="FX69" s="92"/>
      <c r="FY69" s="92"/>
      <c r="FZ69" s="92"/>
      <c r="GA69" s="92"/>
      <c r="GB69" s="92"/>
      <c r="GC69" s="92"/>
      <c r="GD69" s="92"/>
      <c r="GE69" s="92"/>
      <c r="GF69" s="92"/>
      <c r="GG69" s="92"/>
      <c r="GH69" s="92"/>
      <c r="GI69" s="92"/>
      <c r="GJ69" s="92"/>
      <c r="GK69" s="92"/>
      <c r="GL69" s="92"/>
      <c r="GM69" s="92"/>
      <c r="GN69" s="92"/>
      <c r="GO69" s="92"/>
      <c r="GP69" s="92"/>
      <c r="GQ69" s="92"/>
      <c r="GR69" s="92"/>
      <c r="GS69" s="92"/>
      <c r="GT69" s="92"/>
      <c r="GU69" s="92"/>
      <c r="GV69" s="92"/>
      <c r="GW69" s="92"/>
      <c r="GX69" s="92"/>
      <c r="GY69" s="92"/>
      <c r="GZ69" s="92"/>
      <c r="HA69" s="92"/>
      <c r="HB69" s="92"/>
      <c r="HC69" s="92"/>
      <c r="HD69" s="92"/>
      <c r="HE69" s="92"/>
      <c r="HF69" s="92"/>
      <c r="HG69" s="92"/>
      <c r="HH69" s="92"/>
      <c r="HI69" s="92"/>
      <c r="HJ69" s="92"/>
      <c r="HK69" s="92"/>
      <c r="HL69" s="92"/>
      <c r="HM69" s="92"/>
      <c r="HN69" s="92"/>
      <c r="HO69" s="92"/>
      <c r="HP69" s="92"/>
      <c r="HQ69" s="92"/>
      <c r="HR69" s="92"/>
      <c r="HS69" s="92"/>
      <c r="HT69" s="92"/>
      <c r="HU69" s="92"/>
      <c r="HV69" s="92"/>
      <c r="HW69" s="92"/>
      <c r="HX69" s="92"/>
      <c r="HY69" s="92"/>
      <c r="HZ69" s="92"/>
      <c r="IA69" s="92"/>
      <c r="IB69" s="92"/>
      <c r="IC69" s="92"/>
      <c r="ID69" s="92"/>
      <c r="IE69" s="92"/>
      <c r="IF69" s="92"/>
      <c r="IG69" s="92"/>
      <c r="IH69" s="92"/>
      <c r="II69" s="92"/>
      <c r="IJ69" s="92"/>
      <c r="IK69" s="92"/>
      <c r="IL69" s="92"/>
      <c r="IM69" s="92"/>
      <c r="IN69" s="92"/>
      <c r="IO69" s="92"/>
      <c r="IP69" s="92"/>
      <c r="IQ69" s="92"/>
      <c r="IR69" s="92"/>
      <c r="IS69" s="92"/>
      <c r="IT69" s="92"/>
      <c r="IU69" s="92"/>
      <c r="IV69" s="92"/>
    </row>
    <row r="70" spans="1:256" s="87" customFormat="1" ht="34.5">
      <c r="A70" s="109" t="s">
        <v>134</v>
      </c>
      <c r="B70" s="127" t="s">
        <v>135</v>
      </c>
      <c r="C70" s="111"/>
      <c r="D70" s="107"/>
      <c r="E70" s="107"/>
      <c r="F70" s="113"/>
      <c r="G70" s="113"/>
      <c r="FF70" s="83"/>
      <c r="FG70" s="83"/>
      <c r="FH70" s="92"/>
      <c r="FI70" s="92"/>
      <c r="FJ70" s="92"/>
      <c r="FK70" s="92"/>
      <c r="FL70" s="92"/>
      <c r="FM70" s="92"/>
      <c r="FN70" s="92"/>
      <c r="FO70" s="92"/>
      <c r="FP70" s="92"/>
      <c r="FQ70" s="92"/>
      <c r="FR70" s="92"/>
      <c r="FS70" s="92"/>
      <c r="FT70" s="92"/>
      <c r="FU70" s="92"/>
      <c r="FV70" s="92"/>
      <c r="FW70" s="92"/>
      <c r="FX70" s="92"/>
      <c r="FY70" s="92"/>
      <c r="FZ70" s="92"/>
      <c r="GA70" s="92"/>
      <c r="GB70" s="92"/>
      <c r="GC70" s="92"/>
      <c r="GD70" s="92"/>
      <c r="GE70" s="92"/>
      <c r="GF70" s="92"/>
      <c r="GG70" s="92"/>
      <c r="GH70" s="92"/>
      <c r="GI70" s="92"/>
      <c r="GJ70" s="92"/>
      <c r="GK70" s="92"/>
      <c r="GL70" s="92"/>
      <c r="GM70" s="92"/>
      <c r="GN70" s="92"/>
      <c r="GO70" s="92"/>
      <c r="GP70" s="92"/>
      <c r="GQ70" s="92"/>
      <c r="GR70" s="92"/>
      <c r="GS70" s="92"/>
      <c r="GT70" s="92"/>
      <c r="GU70" s="92"/>
      <c r="GV70" s="92"/>
      <c r="GW70" s="92"/>
      <c r="GX70" s="92"/>
      <c r="GY70" s="92"/>
      <c r="GZ70" s="92"/>
      <c r="HA70" s="92"/>
      <c r="HB70" s="92"/>
      <c r="HC70" s="92"/>
      <c r="HD70" s="92"/>
      <c r="HE70" s="92"/>
      <c r="HF70" s="92"/>
      <c r="HG70" s="92"/>
      <c r="HH70" s="92"/>
      <c r="HI70" s="92"/>
      <c r="HJ70" s="92"/>
      <c r="HK70" s="92"/>
      <c r="HL70" s="92"/>
      <c r="HM70" s="92"/>
      <c r="HN70" s="92"/>
      <c r="HO70" s="92"/>
      <c r="HP70" s="92"/>
      <c r="HQ70" s="92"/>
      <c r="HR70" s="92"/>
      <c r="HS70" s="92"/>
      <c r="HT70" s="92"/>
      <c r="HU70" s="92"/>
      <c r="HV70" s="92"/>
      <c r="HW70" s="92"/>
      <c r="HX70" s="92"/>
      <c r="HY70" s="92"/>
      <c r="HZ70" s="92"/>
      <c r="IA70" s="92"/>
      <c r="IB70" s="92"/>
      <c r="IC70" s="92"/>
      <c r="ID70" s="92"/>
      <c r="IE70" s="92"/>
      <c r="IF70" s="92"/>
      <c r="IG70" s="92"/>
      <c r="IH70" s="92"/>
      <c r="II70" s="92"/>
      <c r="IJ70" s="92"/>
      <c r="IK70" s="92"/>
      <c r="IL70" s="92"/>
      <c r="IM70" s="92"/>
      <c r="IN70" s="92"/>
      <c r="IO70" s="92"/>
      <c r="IP70" s="92"/>
      <c r="IQ70" s="92"/>
      <c r="IR70" s="92"/>
      <c r="IS70" s="92"/>
      <c r="IT70" s="92"/>
      <c r="IU70" s="92"/>
      <c r="IV70" s="92"/>
    </row>
    <row r="71" spans="1:256" s="87" customFormat="1" ht="17.25">
      <c r="A71" s="109" t="s">
        <v>136</v>
      </c>
      <c r="B71" s="127" t="s">
        <v>137</v>
      </c>
      <c r="C71" s="111"/>
      <c r="D71" s="107"/>
      <c r="E71" s="107"/>
      <c r="F71" s="113"/>
      <c r="G71" s="113"/>
      <c r="FF71" s="83"/>
      <c r="FG71" s="83"/>
      <c r="FH71" s="92"/>
      <c r="FI71" s="92"/>
      <c r="FJ71" s="92"/>
      <c r="FK71" s="92"/>
      <c r="FL71" s="92"/>
      <c r="FM71" s="92"/>
      <c r="FN71" s="92"/>
      <c r="FO71" s="92"/>
      <c r="FP71" s="92"/>
      <c r="FQ71" s="92"/>
      <c r="FR71" s="92"/>
      <c r="FS71" s="92"/>
      <c r="FT71" s="92"/>
      <c r="FU71" s="92"/>
      <c r="FV71" s="92"/>
      <c r="FW71" s="92"/>
      <c r="FX71" s="92"/>
      <c r="FY71" s="92"/>
      <c r="FZ71" s="92"/>
      <c r="GA71" s="92"/>
      <c r="GB71" s="92"/>
      <c r="GC71" s="92"/>
      <c r="GD71" s="92"/>
      <c r="GE71" s="92"/>
      <c r="GF71" s="92"/>
      <c r="GG71" s="92"/>
      <c r="GH71" s="92"/>
      <c r="GI71" s="92"/>
      <c r="GJ71" s="92"/>
      <c r="GK71" s="92"/>
      <c r="GL71" s="92"/>
      <c r="GM71" s="92"/>
      <c r="GN71" s="92"/>
      <c r="GO71" s="92"/>
      <c r="GP71" s="92"/>
      <c r="GQ71" s="92"/>
      <c r="GR71" s="92"/>
      <c r="GS71" s="92"/>
      <c r="GT71" s="92"/>
      <c r="GU71" s="92"/>
      <c r="GV71" s="92"/>
      <c r="GW71" s="92"/>
      <c r="GX71" s="92"/>
      <c r="GY71" s="92"/>
      <c r="GZ71" s="92"/>
      <c r="HA71" s="92"/>
      <c r="HB71" s="92"/>
      <c r="HC71" s="92"/>
      <c r="HD71" s="92"/>
      <c r="HE71" s="92"/>
      <c r="HF71" s="92"/>
      <c r="HG71" s="92"/>
      <c r="HH71" s="92"/>
      <c r="HI71" s="92"/>
      <c r="HJ71" s="92"/>
      <c r="HK71" s="92"/>
      <c r="HL71" s="92"/>
      <c r="HM71" s="92"/>
      <c r="HN71" s="92"/>
      <c r="HO71" s="92"/>
      <c r="HP71" s="92"/>
      <c r="HQ71" s="92"/>
      <c r="HR71" s="92"/>
      <c r="HS71" s="92"/>
      <c r="HT71" s="92"/>
      <c r="HU71" s="92"/>
      <c r="HV71" s="92"/>
      <c r="HW71" s="92"/>
      <c r="HX71" s="92"/>
      <c r="HY71" s="92"/>
      <c r="HZ71" s="92"/>
      <c r="IA71" s="92"/>
      <c r="IB71" s="92"/>
      <c r="IC71" s="92"/>
      <c r="ID71" s="92"/>
      <c r="IE71" s="92"/>
      <c r="IF71" s="92"/>
      <c r="IG71" s="92"/>
      <c r="IH71" s="92"/>
      <c r="II71" s="92"/>
      <c r="IJ71" s="92"/>
      <c r="IK71" s="92"/>
      <c r="IL71" s="92"/>
      <c r="IM71" s="92"/>
      <c r="IN71" s="92"/>
      <c r="IO71" s="92"/>
      <c r="IP71" s="92"/>
      <c r="IQ71" s="92"/>
      <c r="IR71" s="92"/>
      <c r="IS71" s="92"/>
      <c r="IT71" s="92"/>
      <c r="IU71" s="92"/>
      <c r="IV71" s="92"/>
    </row>
    <row r="72" spans="1:256" s="87" customFormat="1" ht="34.5">
      <c r="A72" s="109" t="s">
        <v>138</v>
      </c>
      <c r="B72" s="127" t="s">
        <v>139</v>
      </c>
      <c r="C72" s="111"/>
      <c r="D72" s="107"/>
      <c r="E72" s="107"/>
      <c r="F72" s="113"/>
      <c r="G72" s="113"/>
      <c r="FF72" s="83"/>
      <c r="FG72" s="83"/>
      <c r="FH72" s="92"/>
      <c r="FI72" s="92"/>
      <c r="FJ72" s="92"/>
      <c r="FK72" s="92"/>
      <c r="FL72" s="92"/>
      <c r="FM72" s="92"/>
      <c r="FN72" s="92"/>
      <c r="FO72" s="92"/>
      <c r="FP72" s="92"/>
      <c r="FQ72" s="92"/>
      <c r="FR72" s="92"/>
      <c r="FS72" s="92"/>
      <c r="FT72" s="92"/>
      <c r="FU72" s="92"/>
      <c r="FV72" s="92"/>
      <c r="FW72" s="92"/>
      <c r="FX72" s="92"/>
      <c r="FY72" s="92"/>
      <c r="FZ72" s="92"/>
      <c r="GA72" s="92"/>
      <c r="GB72" s="92"/>
      <c r="GC72" s="92"/>
      <c r="GD72" s="92"/>
      <c r="GE72" s="92"/>
      <c r="GF72" s="92"/>
      <c r="GG72" s="92"/>
      <c r="GH72" s="92"/>
      <c r="GI72" s="92"/>
      <c r="GJ72" s="92"/>
      <c r="GK72" s="92"/>
      <c r="GL72" s="92"/>
      <c r="GM72" s="92"/>
      <c r="GN72" s="92"/>
      <c r="GO72" s="92"/>
      <c r="GP72" s="92"/>
      <c r="GQ72" s="92"/>
      <c r="GR72" s="92"/>
      <c r="GS72" s="92"/>
      <c r="GT72" s="92"/>
      <c r="GU72" s="92"/>
      <c r="GV72" s="92"/>
      <c r="GW72" s="92"/>
      <c r="GX72" s="92"/>
      <c r="GY72" s="92"/>
      <c r="GZ72" s="92"/>
      <c r="HA72" s="92"/>
      <c r="HB72" s="92"/>
      <c r="HC72" s="92"/>
      <c r="HD72" s="92"/>
      <c r="HE72" s="92"/>
      <c r="HF72" s="92"/>
      <c r="HG72" s="92"/>
      <c r="HH72" s="92"/>
      <c r="HI72" s="92"/>
      <c r="HJ72" s="92"/>
      <c r="HK72" s="92"/>
      <c r="HL72" s="92"/>
      <c r="HM72" s="92"/>
      <c r="HN72" s="92"/>
      <c r="HO72" s="92"/>
      <c r="HP72" s="92"/>
      <c r="HQ72" s="92"/>
      <c r="HR72" s="92"/>
      <c r="HS72" s="92"/>
      <c r="HT72" s="92"/>
      <c r="HU72" s="92"/>
      <c r="HV72" s="92"/>
      <c r="HW72" s="92"/>
      <c r="HX72" s="92"/>
      <c r="HY72" s="92"/>
      <c r="HZ72" s="92"/>
      <c r="IA72" s="92"/>
      <c r="IB72" s="92"/>
      <c r="IC72" s="92"/>
      <c r="ID72" s="92"/>
      <c r="IE72" s="92"/>
      <c r="IF72" s="92"/>
      <c r="IG72" s="92"/>
      <c r="IH72" s="92"/>
      <c r="II72" s="92"/>
      <c r="IJ72" s="92"/>
      <c r="IK72" s="92"/>
      <c r="IL72" s="92"/>
      <c r="IM72" s="92"/>
      <c r="IN72" s="92"/>
      <c r="IO72" s="92"/>
      <c r="IP72" s="92"/>
      <c r="IQ72" s="92"/>
      <c r="IR72" s="92"/>
      <c r="IS72" s="92"/>
      <c r="IT72" s="92"/>
      <c r="IU72" s="92"/>
      <c r="IV72" s="92"/>
    </row>
    <row r="73" spans="1:256" s="87" customFormat="1" ht="34.5">
      <c r="A73" s="109" t="s">
        <v>140</v>
      </c>
      <c r="B73" s="127" t="s">
        <v>141</v>
      </c>
      <c r="C73" s="111"/>
      <c r="D73" s="107"/>
      <c r="E73" s="107"/>
      <c r="F73" s="113"/>
      <c r="G73" s="113"/>
      <c r="FF73" s="83"/>
      <c r="FG73" s="83"/>
      <c r="FH73" s="92"/>
      <c r="FI73" s="92"/>
      <c r="FJ73" s="92"/>
      <c r="FK73" s="92"/>
      <c r="FL73" s="92"/>
      <c r="FM73" s="92"/>
      <c r="FN73" s="92"/>
      <c r="FO73" s="92"/>
      <c r="FP73" s="92"/>
      <c r="FQ73" s="92"/>
      <c r="FR73" s="92"/>
      <c r="FS73" s="92"/>
      <c r="FT73" s="92"/>
      <c r="FU73" s="92"/>
      <c r="FV73" s="92"/>
      <c r="FW73" s="92"/>
      <c r="FX73" s="92"/>
      <c r="FY73" s="92"/>
      <c r="FZ73" s="92"/>
      <c r="GA73" s="92"/>
      <c r="GB73" s="92"/>
      <c r="GC73" s="92"/>
      <c r="GD73" s="92"/>
      <c r="GE73" s="92"/>
      <c r="GF73" s="92"/>
      <c r="GG73" s="92"/>
      <c r="GH73" s="92"/>
      <c r="GI73" s="92"/>
      <c r="GJ73" s="92"/>
      <c r="GK73" s="92"/>
      <c r="GL73" s="92"/>
      <c r="GM73" s="92"/>
      <c r="GN73" s="92"/>
      <c r="GO73" s="92"/>
      <c r="GP73" s="92"/>
      <c r="GQ73" s="92"/>
      <c r="GR73" s="92"/>
      <c r="GS73" s="92"/>
      <c r="GT73" s="92"/>
      <c r="GU73" s="92"/>
      <c r="GV73" s="92"/>
      <c r="GW73" s="92"/>
      <c r="GX73" s="92"/>
      <c r="GY73" s="92"/>
      <c r="GZ73" s="92"/>
      <c r="HA73" s="92"/>
      <c r="HB73" s="92"/>
      <c r="HC73" s="92"/>
      <c r="HD73" s="92"/>
      <c r="HE73" s="92"/>
      <c r="HF73" s="92"/>
      <c r="HG73" s="92"/>
      <c r="HH73" s="92"/>
      <c r="HI73" s="92"/>
      <c r="HJ73" s="92"/>
      <c r="HK73" s="92"/>
      <c r="HL73" s="92"/>
      <c r="HM73" s="92"/>
      <c r="HN73" s="92"/>
      <c r="HO73" s="92"/>
      <c r="HP73" s="92"/>
      <c r="HQ73" s="92"/>
      <c r="HR73" s="92"/>
      <c r="HS73" s="92"/>
      <c r="HT73" s="92"/>
      <c r="HU73" s="92"/>
      <c r="HV73" s="92"/>
      <c r="HW73" s="92"/>
      <c r="HX73" s="92"/>
      <c r="HY73" s="92"/>
      <c r="HZ73" s="92"/>
      <c r="IA73" s="92"/>
      <c r="IB73" s="92"/>
      <c r="IC73" s="92"/>
      <c r="ID73" s="92"/>
      <c r="IE73" s="92"/>
      <c r="IF73" s="92"/>
      <c r="IG73" s="92"/>
      <c r="IH73" s="92"/>
      <c r="II73" s="92"/>
      <c r="IJ73" s="92"/>
      <c r="IK73" s="92"/>
      <c r="IL73" s="92"/>
      <c r="IM73" s="92"/>
      <c r="IN73" s="92"/>
      <c r="IO73" s="92"/>
      <c r="IP73" s="92"/>
      <c r="IQ73" s="92"/>
      <c r="IR73" s="92"/>
      <c r="IS73" s="92"/>
      <c r="IT73" s="92"/>
      <c r="IU73" s="92"/>
      <c r="IV73" s="92"/>
    </row>
    <row r="74" spans="1:256" s="87" customFormat="1" ht="34.5">
      <c r="A74" s="109" t="s">
        <v>142</v>
      </c>
      <c r="B74" s="127" t="s">
        <v>143</v>
      </c>
      <c r="C74" s="111"/>
      <c r="D74" s="107"/>
      <c r="E74" s="107"/>
      <c r="F74" s="113"/>
      <c r="G74" s="113"/>
      <c r="FF74" s="83"/>
      <c r="FG74" s="83"/>
      <c r="FH74" s="92"/>
      <c r="FI74" s="92"/>
      <c r="FJ74" s="92"/>
      <c r="FK74" s="92"/>
      <c r="FL74" s="92"/>
      <c r="FM74" s="92"/>
      <c r="FN74" s="92"/>
      <c r="FO74" s="92"/>
      <c r="FP74" s="92"/>
      <c r="FQ74" s="92"/>
      <c r="FR74" s="92"/>
      <c r="FS74" s="92"/>
      <c r="FT74" s="92"/>
      <c r="FU74" s="92"/>
      <c r="FV74" s="92"/>
      <c r="FW74" s="92"/>
      <c r="FX74" s="92"/>
      <c r="FY74" s="92"/>
      <c r="FZ74" s="92"/>
      <c r="GA74" s="92"/>
      <c r="GB74" s="92"/>
      <c r="GC74" s="92"/>
      <c r="GD74" s="92"/>
      <c r="GE74" s="92"/>
      <c r="GF74" s="92"/>
      <c r="GG74" s="92"/>
      <c r="GH74" s="92"/>
      <c r="GI74" s="92"/>
      <c r="GJ74" s="92"/>
      <c r="GK74" s="92"/>
      <c r="GL74" s="92"/>
      <c r="GM74" s="92"/>
      <c r="GN74" s="92"/>
      <c r="GO74" s="92"/>
      <c r="GP74" s="92"/>
      <c r="GQ74" s="92"/>
      <c r="GR74" s="92"/>
      <c r="GS74" s="92"/>
      <c r="GT74" s="92"/>
      <c r="GU74" s="92"/>
      <c r="GV74" s="92"/>
      <c r="GW74" s="92"/>
      <c r="GX74" s="92"/>
      <c r="GY74" s="92"/>
      <c r="GZ74" s="92"/>
      <c r="HA74" s="92"/>
      <c r="HB74" s="92"/>
      <c r="HC74" s="92"/>
      <c r="HD74" s="92"/>
      <c r="HE74" s="92"/>
      <c r="HF74" s="92"/>
      <c r="HG74" s="92"/>
      <c r="HH74" s="92"/>
      <c r="HI74" s="92"/>
      <c r="HJ74" s="92"/>
      <c r="HK74" s="92"/>
      <c r="HL74" s="92"/>
      <c r="HM74" s="92"/>
      <c r="HN74" s="92"/>
      <c r="HO74" s="92"/>
      <c r="HP74" s="92"/>
      <c r="HQ74" s="92"/>
      <c r="HR74" s="92"/>
      <c r="HS74" s="92"/>
      <c r="HT74" s="92"/>
      <c r="HU74" s="92"/>
      <c r="HV74" s="92"/>
      <c r="HW74" s="92"/>
      <c r="HX74" s="92"/>
      <c r="HY74" s="92"/>
      <c r="HZ74" s="92"/>
      <c r="IA74" s="92"/>
      <c r="IB74" s="92"/>
      <c r="IC74" s="92"/>
      <c r="ID74" s="92"/>
      <c r="IE74" s="92"/>
      <c r="IF74" s="92"/>
      <c r="IG74" s="92"/>
      <c r="IH74" s="92"/>
      <c r="II74" s="92"/>
      <c r="IJ74" s="92"/>
      <c r="IK74" s="92"/>
      <c r="IL74" s="92"/>
      <c r="IM74" s="92"/>
      <c r="IN74" s="92"/>
      <c r="IO74" s="92"/>
      <c r="IP74" s="92"/>
      <c r="IQ74" s="92"/>
      <c r="IR74" s="92"/>
      <c r="IS74" s="92"/>
      <c r="IT74" s="92"/>
      <c r="IU74" s="92"/>
      <c r="IV74" s="92"/>
    </row>
    <row r="75" spans="1:256" s="87" customFormat="1" ht="87">
      <c r="A75" s="109" t="s">
        <v>144</v>
      </c>
      <c r="B75" s="127" t="s">
        <v>145</v>
      </c>
      <c r="C75" s="111"/>
      <c r="D75" s="107"/>
      <c r="E75" s="107"/>
      <c r="F75" s="113"/>
      <c r="G75" s="113"/>
      <c r="FF75" s="83"/>
      <c r="FG75" s="83"/>
      <c r="FH75" s="92"/>
      <c r="FI75" s="92"/>
      <c r="FJ75" s="92"/>
      <c r="FK75" s="92"/>
      <c r="FL75" s="92"/>
      <c r="FM75" s="92"/>
      <c r="FN75" s="92"/>
      <c r="FO75" s="92"/>
      <c r="FP75" s="92"/>
      <c r="FQ75" s="92"/>
      <c r="FR75" s="92"/>
      <c r="FS75" s="92"/>
      <c r="FT75" s="92"/>
      <c r="FU75" s="92"/>
      <c r="FV75" s="92"/>
      <c r="FW75" s="92"/>
      <c r="FX75" s="92"/>
      <c r="FY75" s="92"/>
      <c r="FZ75" s="92"/>
      <c r="GA75" s="92"/>
      <c r="GB75" s="92"/>
      <c r="GC75" s="92"/>
      <c r="GD75" s="92"/>
      <c r="GE75" s="92"/>
      <c r="GF75" s="92"/>
      <c r="GG75" s="92"/>
      <c r="GH75" s="92"/>
      <c r="GI75" s="92"/>
      <c r="GJ75" s="92"/>
      <c r="GK75" s="92"/>
      <c r="GL75" s="92"/>
      <c r="GM75" s="92"/>
      <c r="GN75" s="92"/>
      <c r="GO75" s="92"/>
      <c r="GP75" s="92"/>
      <c r="GQ75" s="92"/>
      <c r="GR75" s="92"/>
      <c r="GS75" s="92"/>
      <c r="GT75" s="92"/>
      <c r="GU75" s="92"/>
      <c r="GV75" s="92"/>
      <c r="GW75" s="92"/>
      <c r="GX75" s="92"/>
      <c r="GY75" s="92"/>
      <c r="GZ75" s="92"/>
      <c r="HA75" s="92"/>
      <c r="HB75" s="92"/>
      <c r="HC75" s="92"/>
      <c r="HD75" s="92"/>
      <c r="HE75" s="92"/>
      <c r="HF75" s="92"/>
      <c r="HG75" s="92"/>
      <c r="HH75" s="92"/>
      <c r="HI75" s="92"/>
      <c r="HJ75" s="92"/>
      <c r="HK75" s="92"/>
      <c r="HL75" s="92"/>
      <c r="HM75" s="92"/>
      <c r="HN75" s="92"/>
      <c r="HO75" s="92"/>
      <c r="HP75" s="92"/>
      <c r="HQ75" s="92"/>
      <c r="HR75" s="92"/>
      <c r="HS75" s="92"/>
      <c r="HT75" s="92"/>
      <c r="HU75" s="92"/>
      <c r="HV75" s="92"/>
      <c r="HW75" s="92"/>
      <c r="HX75" s="92"/>
      <c r="HY75" s="92"/>
      <c r="HZ75" s="92"/>
      <c r="IA75" s="92"/>
      <c r="IB75" s="92"/>
      <c r="IC75" s="92"/>
      <c r="ID75" s="92"/>
      <c r="IE75" s="92"/>
      <c r="IF75" s="92"/>
      <c r="IG75" s="92"/>
      <c r="IH75" s="92"/>
      <c r="II75" s="92"/>
      <c r="IJ75" s="92"/>
      <c r="IK75" s="92"/>
      <c r="IL75" s="92"/>
      <c r="IM75" s="92"/>
      <c r="IN75" s="92"/>
      <c r="IO75" s="92"/>
      <c r="IP75" s="92"/>
      <c r="IQ75" s="92"/>
      <c r="IR75" s="92"/>
      <c r="IS75" s="92"/>
      <c r="IT75" s="92"/>
      <c r="IU75" s="92"/>
      <c r="IV75" s="92"/>
    </row>
    <row r="76" spans="1:256" s="87" customFormat="1" ht="34.5">
      <c r="A76" s="109" t="s">
        <v>146</v>
      </c>
      <c r="B76" s="127" t="s">
        <v>147</v>
      </c>
      <c r="C76" s="111"/>
      <c r="D76" s="107">
        <v>3868630</v>
      </c>
      <c r="E76" s="107">
        <v>3868630</v>
      </c>
      <c r="F76" s="113"/>
      <c r="G76" s="113"/>
      <c r="FF76" s="83"/>
      <c r="FG76" s="83"/>
      <c r="FH76" s="92"/>
      <c r="FI76" s="92"/>
      <c r="FJ76" s="92"/>
      <c r="FK76" s="92"/>
      <c r="FL76" s="92"/>
      <c r="FM76" s="92"/>
      <c r="FN76" s="92"/>
      <c r="FO76" s="92"/>
      <c r="FP76" s="92"/>
      <c r="FQ76" s="92"/>
      <c r="FR76" s="92"/>
      <c r="FS76" s="92"/>
      <c r="FT76" s="92"/>
      <c r="FU76" s="92"/>
      <c r="FV76" s="92"/>
      <c r="FW76" s="92"/>
      <c r="FX76" s="92"/>
      <c r="FY76" s="92"/>
      <c r="FZ76" s="92"/>
      <c r="GA76" s="92"/>
      <c r="GB76" s="92"/>
      <c r="GC76" s="92"/>
      <c r="GD76" s="92"/>
      <c r="GE76" s="92"/>
      <c r="GF76" s="92"/>
      <c r="GG76" s="92"/>
      <c r="GH76" s="92"/>
      <c r="GI76" s="92"/>
      <c r="GJ76" s="92"/>
      <c r="GK76" s="92"/>
      <c r="GL76" s="92"/>
      <c r="GM76" s="92"/>
      <c r="GN76" s="92"/>
      <c r="GO76" s="92"/>
      <c r="GP76" s="92"/>
      <c r="GQ76" s="92"/>
      <c r="GR76" s="92"/>
      <c r="GS76" s="92"/>
      <c r="GT76" s="92"/>
      <c r="GU76" s="92"/>
      <c r="GV76" s="92"/>
      <c r="GW76" s="92"/>
      <c r="GX76" s="92"/>
      <c r="GY76" s="92"/>
      <c r="GZ76" s="92"/>
      <c r="HA76" s="92"/>
      <c r="HB76" s="92"/>
      <c r="HC76" s="92"/>
      <c r="HD76" s="92"/>
      <c r="HE76" s="92"/>
      <c r="HF76" s="92"/>
      <c r="HG76" s="92"/>
      <c r="HH76" s="92"/>
      <c r="HI76" s="92"/>
      <c r="HJ76" s="92"/>
      <c r="HK76" s="92"/>
      <c r="HL76" s="92"/>
      <c r="HM76" s="92"/>
      <c r="HN76" s="92"/>
      <c r="HO76" s="92"/>
      <c r="HP76" s="92"/>
      <c r="HQ76" s="92"/>
      <c r="HR76" s="92"/>
      <c r="HS76" s="92"/>
      <c r="HT76" s="92"/>
      <c r="HU76" s="92"/>
      <c r="HV76" s="92"/>
      <c r="HW76" s="92"/>
      <c r="HX76" s="92"/>
      <c r="HY76" s="92"/>
      <c r="HZ76" s="92"/>
      <c r="IA76" s="92"/>
      <c r="IB76" s="92"/>
      <c r="IC76" s="92"/>
      <c r="ID76" s="92"/>
      <c r="IE76" s="92"/>
      <c r="IF76" s="92"/>
      <c r="IG76" s="92"/>
      <c r="IH76" s="92"/>
      <c r="II76" s="92"/>
      <c r="IJ76" s="92"/>
      <c r="IK76" s="92"/>
      <c r="IL76" s="92"/>
      <c r="IM76" s="92"/>
      <c r="IN76" s="92"/>
      <c r="IO76" s="92"/>
      <c r="IP76" s="92"/>
      <c r="IQ76" s="92"/>
      <c r="IR76" s="92"/>
      <c r="IS76" s="92"/>
      <c r="IT76" s="92"/>
      <c r="IU76" s="92"/>
      <c r="IV76" s="92"/>
    </row>
    <row r="77" spans="1:256" s="87" customFormat="1" ht="34.5">
      <c r="A77" s="109" t="s">
        <v>148</v>
      </c>
      <c r="B77" s="127" t="s">
        <v>149</v>
      </c>
      <c r="C77" s="111"/>
      <c r="D77" s="107"/>
      <c r="E77" s="107"/>
      <c r="F77" s="113"/>
      <c r="G77" s="113"/>
      <c r="FF77" s="83"/>
      <c r="FG77" s="83"/>
      <c r="FH77" s="92"/>
      <c r="FI77" s="92"/>
      <c r="FJ77" s="92"/>
      <c r="FK77" s="92"/>
      <c r="FL77" s="92"/>
      <c r="FM77" s="92"/>
      <c r="FN77" s="92"/>
      <c r="FO77" s="92"/>
      <c r="FP77" s="92"/>
      <c r="FQ77" s="92"/>
      <c r="FR77" s="92"/>
      <c r="FS77" s="92"/>
      <c r="FT77" s="92"/>
      <c r="FU77" s="92"/>
      <c r="FV77" s="92"/>
      <c r="FW77" s="92"/>
      <c r="FX77" s="92"/>
      <c r="FY77" s="92"/>
      <c r="FZ77" s="92"/>
      <c r="GA77" s="92"/>
      <c r="GB77" s="92"/>
      <c r="GC77" s="92"/>
      <c r="GD77" s="92"/>
      <c r="GE77" s="92"/>
      <c r="GF77" s="92"/>
      <c r="GG77" s="92"/>
      <c r="GH77" s="92"/>
      <c r="GI77" s="92"/>
      <c r="GJ77" s="92"/>
      <c r="GK77" s="92"/>
      <c r="GL77" s="92"/>
      <c r="GM77" s="92"/>
      <c r="GN77" s="92"/>
      <c r="GO77" s="92"/>
      <c r="GP77" s="92"/>
      <c r="GQ77" s="92"/>
      <c r="GR77" s="92"/>
      <c r="GS77" s="92"/>
      <c r="GT77" s="92"/>
      <c r="GU77" s="92"/>
      <c r="GV77" s="92"/>
      <c r="GW77" s="92"/>
      <c r="GX77" s="92"/>
      <c r="GY77" s="92"/>
      <c r="GZ77" s="92"/>
      <c r="HA77" s="92"/>
      <c r="HB77" s="92"/>
      <c r="HC77" s="92"/>
      <c r="HD77" s="92"/>
      <c r="HE77" s="92"/>
      <c r="HF77" s="92"/>
      <c r="HG77" s="92"/>
      <c r="HH77" s="92"/>
      <c r="HI77" s="92"/>
      <c r="HJ77" s="92"/>
      <c r="HK77" s="92"/>
      <c r="HL77" s="92"/>
      <c r="HM77" s="92"/>
      <c r="HN77" s="92"/>
      <c r="HO77" s="92"/>
      <c r="HP77" s="92"/>
      <c r="HQ77" s="92"/>
      <c r="HR77" s="92"/>
      <c r="HS77" s="92"/>
      <c r="HT77" s="92"/>
      <c r="HU77" s="92"/>
      <c r="HV77" s="92"/>
      <c r="HW77" s="92"/>
      <c r="HX77" s="92"/>
      <c r="HY77" s="92"/>
      <c r="HZ77" s="92"/>
      <c r="IA77" s="92"/>
      <c r="IB77" s="92"/>
      <c r="IC77" s="92"/>
      <c r="ID77" s="92"/>
      <c r="IE77" s="92"/>
      <c r="IF77" s="92"/>
      <c r="IG77" s="92"/>
      <c r="IH77" s="92"/>
      <c r="II77" s="92"/>
      <c r="IJ77" s="92"/>
      <c r="IK77" s="92"/>
      <c r="IL77" s="92"/>
      <c r="IM77" s="92"/>
      <c r="IN77" s="92"/>
      <c r="IO77" s="92"/>
      <c r="IP77" s="92"/>
      <c r="IQ77" s="92"/>
      <c r="IR77" s="92"/>
      <c r="IS77" s="92"/>
      <c r="IT77" s="92"/>
      <c r="IU77" s="92"/>
      <c r="IV77" s="92"/>
    </row>
    <row r="78" spans="1:256" s="87" customFormat="1" ht="87">
      <c r="A78" s="109"/>
      <c r="B78" s="127" t="s">
        <v>150</v>
      </c>
      <c r="C78" s="111"/>
      <c r="D78" s="107">
        <v>10855000</v>
      </c>
      <c r="E78" s="107">
        <v>10855000</v>
      </c>
      <c r="F78" s="113"/>
      <c r="G78" s="113"/>
      <c r="FF78" s="83"/>
      <c r="FG78" s="83"/>
      <c r="FH78" s="92"/>
      <c r="FI78" s="92"/>
      <c r="FJ78" s="92"/>
      <c r="FK78" s="92"/>
      <c r="FL78" s="92"/>
      <c r="FM78" s="92"/>
      <c r="FN78" s="92"/>
      <c r="FO78" s="92"/>
      <c r="FP78" s="92"/>
      <c r="FQ78" s="92"/>
      <c r="FR78" s="92"/>
      <c r="FS78" s="92"/>
      <c r="FT78" s="92"/>
      <c r="FU78" s="92"/>
      <c r="FV78" s="92"/>
      <c r="FW78" s="92"/>
      <c r="FX78" s="92"/>
      <c r="FY78" s="92"/>
      <c r="FZ78" s="92"/>
      <c r="GA78" s="92"/>
      <c r="GB78" s="92"/>
      <c r="GC78" s="92"/>
      <c r="GD78" s="92"/>
      <c r="GE78" s="92"/>
      <c r="GF78" s="92"/>
      <c r="GG78" s="92"/>
      <c r="GH78" s="92"/>
      <c r="GI78" s="92"/>
      <c r="GJ78" s="92"/>
      <c r="GK78" s="92"/>
      <c r="GL78" s="92"/>
      <c r="GM78" s="92"/>
      <c r="GN78" s="92"/>
      <c r="GO78" s="92"/>
      <c r="GP78" s="92"/>
      <c r="GQ78" s="92"/>
      <c r="GR78" s="92"/>
      <c r="GS78" s="92"/>
      <c r="GT78" s="92"/>
      <c r="GU78" s="92"/>
      <c r="GV78" s="92"/>
      <c r="GW78" s="92"/>
      <c r="GX78" s="92"/>
      <c r="GY78" s="92"/>
      <c r="GZ78" s="92"/>
      <c r="HA78" s="92"/>
      <c r="HB78" s="92"/>
      <c r="HC78" s="92"/>
      <c r="HD78" s="92"/>
      <c r="HE78" s="92"/>
      <c r="HF78" s="92"/>
      <c r="HG78" s="92"/>
      <c r="HH78" s="92"/>
      <c r="HI78" s="92"/>
      <c r="HJ78" s="92"/>
      <c r="HK78" s="92"/>
      <c r="HL78" s="92"/>
      <c r="HM78" s="92"/>
      <c r="HN78" s="92"/>
      <c r="HO78" s="92"/>
      <c r="HP78" s="92"/>
      <c r="HQ78" s="92"/>
      <c r="HR78" s="92"/>
      <c r="HS78" s="92"/>
      <c r="HT78" s="92"/>
      <c r="HU78" s="92"/>
      <c r="HV78" s="92"/>
      <c r="HW78" s="92"/>
      <c r="HX78" s="92"/>
      <c r="HY78" s="92"/>
      <c r="HZ78" s="92"/>
      <c r="IA78" s="92"/>
      <c r="IB78" s="92"/>
      <c r="IC78" s="92"/>
      <c r="ID78" s="92"/>
      <c r="IE78" s="92"/>
      <c r="IF78" s="92"/>
      <c r="IG78" s="92"/>
      <c r="IH78" s="92"/>
      <c r="II78" s="92"/>
      <c r="IJ78" s="92"/>
      <c r="IK78" s="92"/>
      <c r="IL78" s="92"/>
      <c r="IM78" s="92"/>
      <c r="IN78" s="92"/>
      <c r="IO78" s="92"/>
      <c r="IP78" s="92"/>
      <c r="IQ78" s="92"/>
      <c r="IR78" s="92"/>
      <c r="IS78" s="92"/>
      <c r="IT78" s="92"/>
      <c r="IU78" s="92"/>
      <c r="IV78" s="92"/>
    </row>
    <row r="79" spans="1:256" s="87" customFormat="1" ht="17.25">
      <c r="A79" s="105" t="s">
        <v>151</v>
      </c>
      <c r="B79" s="106" t="s">
        <v>152</v>
      </c>
      <c r="C79" s="107">
        <f>+C80+C81+C82+C83+C84+C85+C86+C87</f>
        <v>0</v>
      </c>
      <c r="D79" s="107">
        <f>+D80+D81+D82+D83+D84+D85+D86+D87</f>
        <v>0</v>
      </c>
      <c r="E79" s="107">
        <f>+E80+E81+E82+E83+E84+E85+E86+E87</f>
        <v>0</v>
      </c>
      <c r="F79" s="108">
        <f>+F80+F81+F82+F83+F84+F85+F86+F87</f>
        <v>-426</v>
      </c>
      <c r="G79" s="108">
        <f>+G80+G81+G82+G83+G84+G85+G86+G87</f>
        <v>0</v>
      </c>
      <c r="FF79" s="83"/>
      <c r="FG79" s="83"/>
      <c r="FH79" s="92"/>
      <c r="FI79" s="92"/>
      <c r="FJ79" s="92"/>
      <c r="FK79" s="92"/>
      <c r="FL79" s="92"/>
      <c r="FM79" s="92"/>
      <c r="FN79" s="92"/>
      <c r="FO79" s="92"/>
      <c r="FP79" s="92"/>
      <c r="FQ79" s="92"/>
      <c r="FR79" s="92"/>
      <c r="FS79" s="92"/>
      <c r="FT79" s="92"/>
      <c r="FU79" s="92"/>
      <c r="FV79" s="92"/>
      <c r="FW79" s="92"/>
      <c r="FX79" s="92"/>
      <c r="FY79" s="92"/>
      <c r="FZ79" s="92"/>
      <c r="GA79" s="92"/>
      <c r="GB79" s="92"/>
      <c r="GC79" s="92"/>
      <c r="GD79" s="92"/>
      <c r="GE79" s="92"/>
      <c r="GF79" s="92"/>
      <c r="GG79" s="92"/>
      <c r="GH79" s="92"/>
      <c r="GI79" s="92"/>
      <c r="GJ79" s="92"/>
      <c r="GK79" s="92"/>
      <c r="GL79" s="92"/>
      <c r="GM79" s="92"/>
      <c r="GN79" s="92"/>
      <c r="GO79" s="92"/>
      <c r="GP79" s="92"/>
      <c r="GQ79" s="92"/>
      <c r="GR79" s="92"/>
      <c r="GS79" s="92"/>
      <c r="GT79" s="92"/>
      <c r="GU79" s="92"/>
      <c r="GV79" s="92"/>
      <c r="GW79" s="92"/>
      <c r="GX79" s="92"/>
      <c r="GY79" s="92"/>
      <c r="GZ79" s="92"/>
      <c r="HA79" s="92"/>
      <c r="HB79" s="92"/>
      <c r="HC79" s="92"/>
      <c r="HD79" s="92"/>
      <c r="HE79" s="92"/>
      <c r="HF79" s="92"/>
      <c r="HG79" s="92"/>
      <c r="HH79" s="92"/>
      <c r="HI79" s="92"/>
      <c r="HJ79" s="92"/>
      <c r="HK79" s="92"/>
      <c r="HL79" s="92"/>
      <c r="HM79" s="92"/>
      <c r="HN79" s="92"/>
      <c r="HO79" s="92"/>
      <c r="HP79" s="92"/>
      <c r="HQ79" s="92"/>
      <c r="HR79" s="92"/>
      <c r="HS79" s="92"/>
      <c r="HT79" s="92"/>
      <c r="HU79" s="92"/>
      <c r="HV79" s="92"/>
      <c r="HW79" s="92"/>
      <c r="HX79" s="92"/>
      <c r="HY79" s="92"/>
      <c r="HZ79" s="92"/>
      <c r="IA79" s="92"/>
      <c r="IB79" s="92"/>
      <c r="IC79" s="92"/>
      <c r="ID79" s="92"/>
      <c r="IE79" s="92"/>
      <c r="IF79" s="92"/>
      <c r="IG79" s="92"/>
      <c r="IH79" s="92"/>
      <c r="II79" s="92"/>
      <c r="IJ79" s="92"/>
      <c r="IK79" s="92"/>
      <c r="IL79" s="92"/>
      <c r="IM79" s="92"/>
      <c r="IN79" s="92"/>
      <c r="IO79" s="92"/>
      <c r="IP79" s="92"/>
      <c r="IQ79" s="92"/>
      <c r="IR79" s="92"/>
      <c r="IS79" s="92"/>
      <c r="IT79" s="92"/>
      <c r="IU79" s="92"/>
      <c r="IV79" s="92"/>
    </row>
    <row r="80" spans="1:256" s="87" customFormat="1" ht="51.75">
      <c r="A80" s="128" t="s">
        <v>153</v>
      </c>
      <c r="B80" s="110" t="s">
        <v>154</v>
      </c>
      <c r="C80" s="111"/>
      <c r="D80" s="107"/>
      <c r="E80" s="107"/>
      <c r="F80" s="113"/>
      <c r="G80" s="113"/>
      <c r="FF80" s="83"/>
      <c r="FG80" s="83"/>
      <c r="FH80" s="92"/>
      <c r="FI80" s="92"/>
      <c r="FJ80" s="92"/>
      <c r="FK80" s="92"/>
      <c r="FL80" s="92"/>
      <c r="FM80" s="92"/>
      <c r="FN80" s="92"/>
      <c r="FO80" s="92"/>
      <c r="FP80" s="92"/>
      <c r="FQ80" s="92"/>
      <c r="FR80" s="92"/>
      <c r="FS80" s="92"/>
      <c r="FT80" s="92"/>
      <c r="FU80" s="92"/>
      <c r="FV80" s="92"/>
      <c r="FW80" s="92"/>
      <c r="FX80" s="92"/>
      <c r="FY80" s="92"/>
      <c r="FZ80" s="92"/>
      <c r="GA80" s="92"/>
      <c r="GB80" s="92"/>
      <c r="GC80" s="92"/>
      <c r="GD80" s="92"/>
      <c r="GE80" s="92"/>
      <c r="GF80" s="92"/>
      <c r="GG80" s="92"/>
      <c r="GH80" s="92"/>
      <c r="GI80" s="92"/>
      <c r="GJ80" s="92"/>
      <c r="GK80" s="92"/>
      <c r="GL80" s="92"/>
      <c r="GM80" s="92"/>
      <c r="GN80" s="92"/>
      <c r="GO80" s="92"/>
      <c r="GP80" s="92"/>
      <c r="GQ80" s="92"/>
      <c r="GR80" s="92"/>
      <c r="GS80" s="92"/>
      <c r="GT80" s="92"/>
      <c r="GU80" s="92"/>
      <c r="GV80" s="92"/>
      <c r="GW80" s="92"/>
      <c r="GX80" s="92"/>
      <c r="GY80" s="92"/>
      <c r="GZ80" s="92"/>
      <c r="HA80" s="92"/>
      <c r="HB80" s="92"/>
      <c r="HC80" s="92"/>
      <c r="HD80" s="92"/>
      <c r="HE80" s="92"/>
      <c r="HF80" s="92"/>
      <c r="HG80" s="92"/>
      <c r="HH80" s="92"/>
      <c r="HI80" s="92"/>
      <c r="HJ80" s="92"/>
      <c r="HK80" s="92"/>
      <c r="HL80" s="92"/>
      <c r="HM80" s="92"/>
      <c r="HN80" s="92"/>
      <c r="HO80" s="92"/>
      <c r="HP80" s="92"/>
      <c r="HQ80" s="92"/>
      <c r="HR80" s="92"/>
      <c r="HS80" s="92"/>
      <c r="HT80" s="92"/>
      <c r="HU80" s="92"/>
      <c r="HV80" s="92"/>
      <c r="HW80" s="92"/>
      <c r="HX80" s="92"/>
      <c r="HY80" s="92"/>
      <c r="HZ80" s="92"/>
      <c r="IA80" s="92"/>
      <c r="IB80" s="92"/>
      <c r="IC80" s="92"/>
      <c r="ID80" s="92"/>
      <c r="IE80" s="92"/>
      <c r="IF80" s="92"/>
      <c r="IG80" s="92"/>
      <c r="IH80" s="92"/>
      <c r="II80" s="92"/>
      <c r="IJ80" s="92"/>
      <c r="IK80" s="92"/>
      <c r="IL80" s="92"/>
      <c r="IM80" s="92"/>
      <c r="IN80" s="92"/>
      <c r="IO80" s="92"/>
      <c r="IP80" s="92"/>
      <c r="IQ80" s="92"/>
      <c r="IR80" s="92"/>
      <c r="IS80" s="92"/>
      <c r="IT80" s="92"/>
      <c r="IU80" s="92"/>
      <c r="IV80" s="92"/>
    </row>
    <row r="81" spans="1:256" s="87" customFormat="1" ht="34.5">
      <c r="A81" s="128" t="s">
        <v>155</v>
      </c>
      <c r="B81" s="129" t="s">
        <v>135</v>
      </c>
      <c r="C81" s="111"/>
      <c r="D81" s="107"/>
      <c r="E81" s="107"/>
      <c r="F81" s="113"/>
      <c r="G81" s="113"/>
      <c r="FF81" s="83"/>
      <c r="FG81" s="83"/>
      <c r="FH81" s="92"/>
      <c r="FI81" s="92"/>
      <c r="FJ81" s="92"/>
      <c r="FK81" s="92"/>
      <c r="FL81" s="92"/>
      <c r="FM81" s="92"/>
      <c r="FN81" s="92"/>
      <c r="FO81" s="92"/>
      <c r="FP81" s="92"/>
      <c r="FQ81" s="92"/>
      <c r="FR81" s="92"/>
      <c r="FS81" s="89"/>
      <c r="FT81" s="89"/>
      <c r="FU81" s="89"/>
      <c r="FV81" s="89"/>
      <c r="FW81" s="89"/>
      <c r="FX81" s="89"/>
      <c r="FY81" s="89"/>
      <c r="FZ81" s="89"/>
      <c r="GA81" s="89"/>
      <c r="GB81" s="89"/>
      <c r="GC81" s="89"/>
      <c r="GD81" s="89"/>
      <c r="GE81" s="89"/>
      <c r="GF81" s="89"/>
      <c r="GG81" s="89"/>
      <c r="GH81" s="89"/>
      <c r="GI81" s="89"/>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c r="IJ81" s="89"/>
      <c r="IK81" s="89"/>
      <c r="IL81" s="89"/>
      <c r="IM81" s="89"/>
      <c r="IN81" s="89"/>
      <c r="IO81" s="89"/>
      <c r="IP81" s="89"/>
      <c r="IQ81" s="89"/>
      <c r="IR81" s="89"/>
      <c r="IS81" s="89"/>
      <c r="IT81" s="89"/>
      <c r="IU81" s="89"/>
      <c r="IV81" s="89"/>
    </row>
    <row r="82" spans="1:256" s="87" customFormat="1" ht="69">
      <c r="A82" s="109" t="s">
        <v>156</v>
      </c>
      <c r="B82" s="110" t="s">
        <v>157</v>
      </c>
      <c r="C82" s="111"/>
      <c r="D82" s="107"/>
      <c r="E82" s="107"/>
      <c r="F82" s="113">
        <f>-304-10</f>
        <v>-314</v>
      </c>
      <c r="G82" s="113"/>
      <c r="FF82" s="83"/>
      <c r="FG82" s="83"/>
      <c r="FH82" s="92"/>
      <c r="FI82" s="92"/>
      <c r="FJ82" s="92"/>
      <c r="FK82" s="92"/>
      <c r="FL82" s="92"/>
      <c r="FM82" s="92"/>
      <c r="FN82" s="92"/>
      <c r="FO82" s="92"/>
      <c r="FP82" s="92"/>
      <c r="FQ82" s="92"/>
      <c r="FR82" s="92"/>
      <c r="FS82" s="89"/>
      <c r="FT82" s="89"/>
      <c r="FU82" s="89"/>
      <c r="FV82" s="89"/>
      <c r="FW82" s="89"/>
      <c r="FX82" s="89"/>
      <c r="FY82" s="89"/>
      <c r="FZ82" s="89"/>
      <c r="GA82" s="89"/>
      <c r="GB82" s="89"/>
      <c r="GC82" s="89"/>
      <c r="GD82" s="89"/>
      <c r="GE82" s="89"/>
      <c r="GF82" s="89"/>
      <c r="GG82" s="89"/>
      <c r="GH82" s="89"/>
      <c r="GI82" s="89"/>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c r="IJ82" s="89"/>
      <c r="IK82" s="89"/>
      <c r="IL82" s="89"/>
      <c r="IM82" s="89"/>
      <c r="IN82" s="89"/>
      <c r="IO82" s="89"/>
      <c r="IP82" s="89"/>
      <c r="IQ82" s="89"/>
      <c r="IR82" s="89"/>
      <c r="IS82" s="89"/>
      <c r="IT82" s="89"/>
      <c r="IU82" s="89"/>
      <c r="IV82" s="89"/>
    </row>
    <row r="83" spans="1:256" s="87" customFormat="1" ht="51.75">
      <c r="A83" s="109" t="s">
        <v>158</v>
      </c>
      <c r="B83" s="110" t="s">
        <v>159</v>
      </c>
      <c r="C83" s="111"/>
      <c r="D83" s="107"/>
      <c r="E83" s="107"/>
      <c r="F83" s="113"/>
      <c r="G83" s="113"/>
      <c r="FF83" s="83"/>
      <c r="FG83" s="83"/>
      <c r="FH83" s="92"/>
      <c r="FI83" s="92"/>
      <c r="FJ83" s="92"/>
      <c r="FK83" s="92"/>
      <c r="FL83" s="92"/>
      <c r="FM83" s="92"/>
      <c r="FN83" s="92"/>
      <c r="FO83" s="92"/>
      <c r="FP83" s="92"/>
      <c r="FQ83" s="92"/>
      <c r="FR83" s="92"/>
      <c r="FS83" s="89"/>
      <c r="FT83" s="89"/>
      <c r="FU83" s="89"/>
      <c r="FV83" s="89"/>
      <c r="FW83" s="89"/>
      <c r="FX83" s="89"/>
      <c r="FY83" s="89"/>
      <c r="FZ83" s="89"/>
      <c r="GA83" s="89"/>
      <c r="GB83" s="89"/>
      <c r="GC83" s="89"/>
      <c r="GD83" s="89"/>
      <c r="GE83" s="89"/>
      <c r="GF83" s="89"/>
      <c r="GG83" s="89"/>
      <c r="GH83" s="89"/>
      <c r="GI83" s="89"/>
      <c r="GJ83" s="89"/>
      <c r="GK83" s="89"/>
      <c r="GL83" s="89"/>
      <c r="GM83" s="89"/>
      <c r="GN83" s="89"/>
      <c r="GO83" s="89"/>
      <c r="GP83" s="89"/>
      <c r="GQ83" s="89"/>
      <c r="GR83" s="89"/>
      <c r="GS83" s="89"/>
      <c r="GT83" s="89"/>
      <c r="GU83" s="89"/>
      <c r="GV83" s="89"/>
      <c r="GW83" s="89"/>
      <c r="GX83" s="89"/>
      <c r="GY83" s="89"/>
      <c r="GZ83" s="89"/>
      <c r="HA83" s="89"/>
      <c r="HB83" s="89"/>
      <c r="HC83" s="89"/>
      <c r="HD83" s="89"/>
      <c r="HE83" s="89"/>
      <c r="HF83" s="89"/>
      <c r="HG83" s="89"/>
      <c r="HH83" s="89"/>
      <c r="HI83" s="89"/>
      <c r="HJ83" s="89"/>
      <c r="HK83" s="89"/>
      <c r="HL83" s="89"/>
      <c r="HM83" s="89"/>
      <c r="HN83" s="89"/>
      <c r="HO83" s="89"/>
      <c r="HP83" s="89"/>
      <c r="HQ83" s="89"/>
      <c r="HR83" s="89"/>
      <c r="HS83" s="89"/>
      <c r="HT83" s="89"/>
      <c r="HU83" s="89"/>
      <c r="HV83" s="89"/>
      <c r="HW83" s="89"/>
      <c r="HX83" s="89"/>
      <c r="HY83" s="89"/>
      <c r="HZ83" s="89"/>
      <c r="IA83" s="89"/>
      <c r="IB83" s="89"/>
      <c r="IC83" s="89"/>
      <c r="ID83" s="89"/>
      <c r="IE83" s="89"/>
      <c r="IF83" s="89"/>
      <c r="IG83" s="89"/>
      <c r="IH83" s="89"/>
      <c r="II83" s="89"/>
      <c r="IJ83" s="89"/>
      <c r="IK83" s="89"/>
      <c r="IL83" s="89"/>
      <c r="IM83" s="89"/>
      <c r="IN83" s="89"/>
      <c r="IO83" s="89"/>
      <c r="IP83" s="89"/>
      <c r="IQ83" s="89"/>
      <c r="IR83" s="89"/>
      <c r="IS83" s="89"/>
      <c r="IT83" s="89"/>
      <c r="IU83" s="89"/>
      <c r="IV83" s="89"/>
    </row>
    <row r="84" spans="1:256" s="87" customFormat="1" ht="34.5">
      <c r="A84" s="109" t="s">
        <v>160</v>
      </c>
      <c r="B84" s="110" t="s">
        <v>139</v>
      </c>
      <c r="C84" s="111"/>
      <c r="D84" s="107"/>
      <c r="E84" s="107"/>
      <c r="F84" s="113"/>
      <c r="G84" s="113"/>
      <c r="FF84" s="83"/>
      <c r="FG84" s="83"/>
      <c r="FH84" s="92"/>
      <c r="FI84" s="92"/>
      <c r="FJ84" s="92"/>
      <c r="FK84" s="92"/>
      <c r="FL84" s="92"/>
      <c r="FM84" s="92"/>
      <c r="FN84" s="92"/>
      <c r="FO84" s="92"/>
      <c r="FP84" s="92"/>
      <c r="FQ84" s="92"/>
      <c r="FR84" s="92"/>
      <c r="FS84" s="89"/>
      <c r="FT84" s="89"/>
      <c r="FU84" s="89"/>
      <c r="FV84" s="89"/>
      <c r="FW84" s="89"/>
      <c r="FX84" s="89"/>
      <c r="FY84" s="89"/>
      <c r="FZ84" s="89"/>
      <c r="GA84" s="89"/>
      <c r="GB84" s="89"/>
      <c r="GC84" s="89"/>
      <c r="GD84" s="89"/>
      <c r="GE84" s="89"/>
      <c r="GF84" s="89"/>
      <c r="GG84" s="89"/>
      <c r="GH84" s="89"/>
      <c r="GI84" s="89"/>
      <c r="GJ84" s="89"/>
      <c r="GK84" s="89"/>
      <c r="GL84" s="89"/>
      <c r="GM84" s="89"/>
      <c r="GN84" s="89"/>
      <c r="GO84" s="89"/>
      <c r="GP84" s="89"/>
      <c r="GQ84" s="89"/>
      <c r="GR84" s="89"/>
      <c r="GS84" s="89"/>
      <c r="GT84" s="89"/>
      <c r="GU84" s="89"/>
      <c r="GV84" s="89"/>
      <c r="GW84" s="89"/>
      <c r="GX84" s="89"/>
      <c r="GY84" s="89"/>
      <c r="GZ84" s="89"/>
      <c r="HA84" s="89"/>
      <c r="HB84" s="89"/>
      <c r="HC84" s="89"/>
      <c r="HD84" s="89"/>
      <c r="HE84" s="89"/>
      <c r="HF84" s="89"/>
      <c r="HG84" s="89"/>
      <c r="HH84" s="89"/>
      <c r="HI84" s="89"/>
      <c r="HJ84" s="89"/>
      <c r="HK84" s="89"/>
      <c r="HL84" s="89"/>
      <c r="HM84" s="89"/>
      <c r="HN84" s="89"/>
      <c r="HO84" s="89"/>
      <c r="HP84" s="89"/>
      <c r="HQ84" s="89"/>
      <c r="HR84" s="89"/>
      <c r="HS84" s="89"/>
      <c r="HT84" s="89"/>
      <c r="HU84" s="89"/>
      <c r="HV84" s="89"/>
      <c r="HW84" s="89"/>
      <c r="HX84" s="89"/>
      <c r="HY84" s="89"/>
      <c r="HZ84" s="89"/>
      <c r="IA84" s="89"/>
      <c r="IB84" s="89"/>
      <c r="IC84" s="89"/>
      <c r="ID84" s="89"/>
      <c r="IE84" s="89"/>
      <c r="IF84" s="89"/>
      <c r="IG84" s="89"/>
      <c r="IH84" s="89"/>
      <c r="II84" s="89"/>
      <c r="IJ84" s="89"/>
      <c r="IK84" s="89"/>
      <c r="IL84" s="89"/>
      <c r="IM84" s="89"/>
      <c r="IN84" s="89"/>
      <c r="IO84" s="89"/>
      <c r="IP84" s="89"/>
      <c r="IQ84" s="89"/>
      <c r="IR84" s="89"/>
      <c r="IS84" s="89"/>
      <c r="IT84" s="89"/>
      <c r="IU84" s="89"/>
      <c r="IV84" s="89"/>
    </row>
    <row r="85" spans="1:90" ht="34.5">
      <c r="A85" s="114" t="s">
        <v>161</v>
      </c>
      <c r="B85" s="130" t="s">
        <v>162</v>
      </c>
      <c r="C85" s="111"/>
      <c r="D85" s="107"/>
      <c r="E85" s="107"/>
      <c r="F85" s="113"/>
      <c r="G85" s="113"/>
      <c r="H85" s="87"/>
      <c r="AR85" s="83"/>
      <c r="BR85" s="83"/>
      <c r="BS85" s="83"/>
      <c r="BT85" s="83"/>
      <c r="CL85" s="83"/>
    </row>
    <row r="86" spans="1:90" ht="104.25">
      <c r="A86" s="114" t="s">
        <v>163</v>
      </c>
      <c r="B86" s="131" t="s">
        <v>164</v>
      </c>
      <c r="C86" s="111"/>
      <c r="D86" s="107"/>
      <c r="E86" s="107"/>
      <c r="F86" s="113">
        <f>-112</f>
        <v>-112</v>
      </c>
      <c r="G86" s="113"/>
      <c r="H86" s="87"/>
      <c r="BR86" s="83"/>
      <c r="BS86" s="83"/>
      <c r="BT86" s="83"/>
      <c r="CL86" s="83"/>
    </row>
    <row r="87" spans="1:90" ht="51.75">
      <c r="A87" s="114" t="s">
        <v>165</v>
      </c>
      <c r="B87" s="132" t="s">
        <v>166</v>
      </c>
      <c r="C87" s="111"/>
      <c r="D87" s="107"/>
      <c r="E87" s="107"/>
      <c r="F87" s="113"/>
      <c r="G87" s="113"/>
      <c r="H87" s="87"/>
      <c r="BR87" s="83"/>
      <c r="BS87" s="83"/>
      <c r="BT87" s="83"/>
      <c r="CL87" s="83"/>
    </row>
    <row r="88" spans="1:90" ht="34.5">
      <c r="A88" s="133" t="s">
        <v>167</v>
      </c>
      <c r="B88" s="133" t="s">
        <v>168</v>
      </c>
      <c r="C88" s="107">
        <f>C89</f>
        <v>0</v>
      </c>
      <c r="D88" s="107">
        <f aca="true" t="shared" si="0" ref="D88:G90">D89</f>
        <v>0</v>
      </c>
      <c r="E88" s="107">
        <f t="shared" si="0"/>
        <v>0</v>
      </c>
      <c r="F88" s="108">
        <f t="shared" si="0"/>
        <v>0</v>
      </c>
      <c r="G88" s="108">
        <f t="shared" si="0"/>
        <v>0</v>
      </c>
      <c r="CL88" s="83"/>
    </row>
    <row r="89" spans="1:90" ht="69">
      <c r="A89" s="133" t="s">
        <v>169</v>
      </c>
      <c r="B89" s="133" t="s">
        <v>170</v>
      </c>
      <c r="C89" s="107">
        <f>C90</f>
        <v>0</v>
      </c>
      <c r="D89" s="107">
        <f t="shared" si="0"/>
        <v>0</v>
      </c>
      <c r="E89" s="107">
        <f t="shared" si="0"/>
        <v>0</v>
      </c>
      <c r="F89" s="108">
        <f t="shared" si="0"/>
        <v>0</v>
      </c>
      <c r="G89" s="108">
        <f t="shared" si="0"/>
        <v>0</v>
      </c>
      <c r="CL89" s="83"/>
    </row>
    <row r="90" spans="1:90" ht="34.5">
      <c r="A90" s="132"/>
      <c r="B90" s="132" t="s">
        <v>171</v>
      </c>
      <c r="C90" s="107">
        <f>C91</f>
        <v>0</v>
      </c>
      <c r="D90" s="107">
        <f t="shared" si="0"/>
        <v>0</v>
      </c>
      <c r="E90" s="107">
        <f t="shared" si="0"/>
        <v>0</v>
      </c>
      <c r="F90" s="108">
        <f t="shared" si="0"/>
        <v>0</v>
      </c>
      <c r="G90" s="108">
        <f t="shared" si="0"/>
        <v>0</v>
      </c>
      <c r="CL90" s="83"/>
    </row>
    <row r="91" spans="1:90" ht="17.25">
      <c r="A91" s="132" t="s">
        <v>172</v>
      </c>
      <c r="B91" s="132" t="s">
        <v>173</v>
      </c>
      <c r="C91" s="111"/>
      <c r="D91" s="107"/>
      <c r="E91" s="111"/>
      <c r="F91" s="113"/>
      <c r="G91" s="113"/>
      <c r="CL91" s="83"/>
    </row>
    <row r="92" spans="1:90" ht="17.25">
      <c r="A92" s="133" t="s">
        <v>174</v>
      </c>
      <c r="B92" s="133" t="s">
        <v>175</v>
      </c>
      <c r="C92" s="107">
        <f>C93</f>
        <v>0</v>
      </c>
      <c r="D92" s="107">
        <f>D93</f>
        <v>0</v>
      </c>
      <c r="E92" s="107">
        <f>E93</f>
        <v>0</v>
      </c>
      <c r="F92" s="108">
        <f>F93</f>
        <v>507791</v>
      </c>
      <c r="G92" s="108">
        <f>G93</f>
        <v>613953</v>
      </c>
      <c r="CL92" s="83"/>
    </row>
    <row r="93" spans="1:90" ht="51.75">
      <c r="A93" s="132" t="s">
        <v>176</v>
      </c>
      <c r="B93" s="132" t="s">
        <v>177</v>
      </c>
      <c r="C93" s="111"/>
      <c r="D93" s="107"/>
      <c r="E93" s="111"/>
      <c r="F93" s="113">
        <f>-491609+582138-89784+243951-298269+347615-551764+359702+266150-617262+142970+613953</f>
        <v>507791</v>
      </c>
      <c r="G93" s="113">
        <v>613953</v>
      </c>
      <c r="CL93" s="83"/>
    </row>
    <row r="94" ht="17.25">
      <c r="CL94" s="83"/>
    </row>
    <row r="95" ht="17.25">
      <c r="CL95" s="83"/>
    </row>
    <row r="96" spans="2:90" ht="17.25">
      <c r="B96" s="89" t="s">
        <v>178</v>
      </c>
      <c r="E96" s="90" t="s">
        <v>179</v>
      </c>
      <c r="CL96" s="83"/>
    </row>
    <row r="97" spans="1:90" ht="17.25">
      <c r="A97" s="134"/>
      <c r="B97" s="89" t="s">
        <v>180</v>
      </c>
      <c r="C97" s="92"/>
      <c r="D97" s="83"/>
      <c r="E97" s="89" t="s">
        <v>181</v>
      </c>
      <c r="G97" s="135"/>
      <c r="CL97" s="83"/>
    </row>
    <row r="98" spans="1:90" ht="17.25">
      <c r="A98" s="134"/>
      <c r="B98" s="92"/>
      <c r="C98" s="92"/>
      <c r="D98" s="83"/>
      <c r="G98" s="135"/>
      <c r="CL98" s="83"/>
    </row>
    <row r="99" spans="1:90" ht="17.25">
      <c r="A99" s="134"/>
      <c r="B99" s="92"/>
      <c r="C99" s="92"/>
      <c r="D99" s="83"/>
      <c r="E99" s="83"/>
      <c r="F99" s="135"/>
      <c r="G99" s="135"/>
      <c r="CL99" s="83"/>
    </row>
    <row r="100" spans="1:90" ht="17.25">
      <c r="A100" s="134"/>
      <c r="B100" s="92"/>
      <c r="C100" s="92"/>
      <c r="D100" s="83"/>
      <c r="E100" s="83"/>
      <c r="F100" s="135"/>
      <c r="G100" s="135"/>
      <c r="CL100" s="83"/>
    </row>
    <row r="101" spans="1:90" ht="17.25">
      <c r="A101" s="134"/>
      <c r="B101" s="92"/>
      <c r="C101" s="92"/>
      <c r="D101" s="83"/>
      <c r="E101" s="83"/>
      <c r="F101" s="135"/>
      <c r="G101" s="135"/>
      <c r="CL101" s="83"/>
    </row>
    <row r="102" spans="1:90" ht="17.25">
      <c r="A102" s="134"/>
      <c r="B102" s="92"/>
      <c r="C102" s="92"/>
      <c r="D102" s="83"/>
      <c r="E102" s="83"/>
      <c r="F102" s="135"/>
      <c r="G102" s="135"/>
      <c r="CL102" s="83"/>
    </row>
    <row r="103" spans="1:90" ht="17.25">
      <c r="A103" s="134"/>
      <c r="B103" s="92"/>
      <c r="C103" s="92"/>
      <c r="D103" s="83"/>
      <c r="E103" s="83"/>
      <c r="F103" s="135"/>
      <c r="G103" s="135"/>
      <c r="CL103" s="83"/>
    </row>
  </sheetData>
  <sheetProtection selectLockedCells="1" selectUnlockedCells="1"/>
  <mergeCells count="31">
    <mergeCell ref="H4:K4"/>
    <mergeCell ref="L4:P4"/>
    <mergeCell ref="Q4:U4"/>
    <mergeCell ref="V4:Z4"/>
    <mergeCell ref="AA4:AE4"/>
    <mergeCell ref="AF4:AJ4"/>
    <mergeCell ref="AK4:AO4"/>
    <mergeCell ref="AP4:AT4"/>
    <mergeCell ref="AU4:AY4"/>
    <mergeCell ref="AZ4:BD4"/>
    <mergeCell ref="BE4:BI4"/>
    <mergeCell ref="BJ4:BN4"/>
    <mergeCell ref="BO4:BS4"/>
    <mergeCell ref="BT4:BX4"/>
    <mergeCell ref="BY4:CC4"/>
    <mergeCell ref="CD4:CH4"/>
    <mergeCell ref="CI4:CM4"/>
    <mergeCell ref="CN4:CR4"/>
    <mergeCell ref="CS4:CW4"/>
    <mergeCell ref="CX4:DB4"/>
    <mergeCell ref="DC4:DG4"/>
    <mergeCell ref="DH4:DL4"/>
    <mergeCell ref="DM4:DQ4"/>
    <mergeCell ref="DR4:DV4"/>
    <mergeCell ref="DW4:EA4"/>
    <mergeCell ref="EB4:EF4"/>
    <mergeCell ref="EG4:EK4"/>
    <mergeCell ref="EL4:EP4"/>
    <mergeCell ref="EQ4:EU4"/>
    <mergeCell ref="EV4:EZ4"/>
    <mergeCell ref="FA4:FE4"/>
  </mergeCells>
  <printOptions/>
  <pageMargins left="0.75" right="0.2" top="1" bottom="0.28" header="0.5118055555555555" footer="0.31"/>
  <pageSetup horizontalDpi="600" verticalDpi="600" orientation="portrait" paperSize="9" scale="67"/>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indexed="14"/>
  </sheetPr>
  <dimension ref="A1:IV204"/>
  <sheetViews>
    <sheetView tabSelected="1" zoomScale="90" zoomScaleNormal="90" workbookViewId="0" topLeftCell="A1">
      <pane xSplit="3" ySplit="6" topLeftCell="D31" activePane="bottomRight" state="frozen"/>
      <selection pane="bottomRight" activeCell="F187" sqref="F187"/>
    </sheetView>
  </sheetViews>
  <sheetFormatPr defaultColWidth="8.8515625" defaultRowHeight="12.75"/>
  <cols>
    <col min="1" max="1" width="11.57421875" style="6" customWidth="1"/>
    <col min="2" max="2" width="55.57421875" style="7" customWidth="1"/>
    <col min="3" max="3" width="0.13671875" style="7" customWidth="1"/>
    <col min="4" max="4" width="13.00390625" style="7" customWidth="1"/>
    <col min="5" max="5" width="13.57421875" style="7" customWidth="1"/>
    <col min="6" max="6" width="13.8515625" style="7" customWidth="1"/>
    <col min="7" max="7" width="13.421875" style="7" customWidth="1"/>
    <col min="8" max="8" width="12.7109375" style="7" customWidth="1"/>
    <col min="9" max="9" width="11.57421875" style="8" customWidth="1"/>
    <col min="10" max="16384" width="9.140625" style="8" bestFit="1" customWidth="1"/>
  </cols>
  <sheetData>
    <row r="1" spans="1:8" s="1" customFormat="1" ht="15">
      <c r="A1" s="9" t="s">
        <v>0</v>
      </c>
      <c r="B1" s="10"/>
      <c r="C1" s="10"/>
      <c r="D1" s="11"/>
      <c r="E1" s="11"/>
      <c r="F1" s="11"/>
      <c r="G1" s="11"/>
      <c r="H1" s="11"/>
    </row>
    <row r="2" spans="2:3" ht="15">
      <c r="B2" s="12"/>
      <c r="C2" s="12"/>
    </row>
    <row r="3" spans="2:4" ht="17.25">
      <c r="B3" s="13" t="s">
        <v>182</v>
      </c>
      <c r="C3" s="12"/>
      <c r="D3" s="14"/>
    </row>
    <row r="4" spans="4:8" ht="15">
      <c r="D4" s="15"/>
      <c r="E4" s="15"/>
      <c r="F4" s="16"/>
      <c r="G4" s="17"/>
      <c r="H4" s="18" t="s">
        <v>183</v>
      </c>
    </row>
    <row r="5" spans="1:8" s="2" customFormat="1" ht="105">
      <c r="A5" s="19" t="s">
        <v>3</v>
      </c>
      <c r="B5" s="20" t="s">
        <v>4</v>
      </c>
      <c r="C5" s="20"/>
      <c r="D5" s="20" t="s">
        <v>184</v>
      </c>
      <c r="E5" s="21" t="s">
        <v>185</v>
      </c>
      <c r="F5" s="21" t="s">
        <v>186</v>
      </c>
      <c r="G5" s="20" t="s">
        <v>187</v>
      </c>
      <c r="H5" s="20" t="s">
        <v>188</v>
      </c>
    </row>
    <row r="6" spans="1:8" ht="15">
      <c r="A6" s="22"/>
      <c r="B6" s="23" t="s">
        <v>189</v>
      </c>
      <c r="C6" s="23"/>
      <c r="D6" s="24"/>
      <c r="E6" s="24"/>
      <c r="F6" s="24"/>
      <c r="G6" s="24"/>
      <c r="H6" s="24"/>
    </row>
    <row r="7" spans="1:10" s="3" customFormat="1" ht="16.5" customHeight="1">
      <c r="A7" s="25" t="s">
        <v>190</v>
      </c>
      <c r="B7" s="26" t="s">
        <v>191</v>
      </c>
      <c r="C7" s="27">
        <f aca="true" t="shared" si="0" ref="C7:H7">+C8+C16</f>
        <v>0</v>
      </c>
      <c r="D7" s="27">
        <f t="shared" si="0"/>
        <v>337558210</v>
      </c>
      <c r="E7" s="27">
        <f t="shared" si="0"/>
        <v>339950210</v>
      </c>
      <c r="F7" s="27">
        <f t="shared" si="0"/>
        <v>339950210</v>
      </c>
      <c r="G7" s="27">
        <f t="shared" si="0"/>
        <v>339578780.42999995</v>
      </c>
      <c r="H7" s="27">
        <f t="shared" si="0"/>
        <v>33083267.39</v>
      </c>
      <c r="I7" s="43"/>
      <c r="J7" s="43"/>
    </row>
    <row r="8" spans="1:10" s="3" customFormat="1" ht="15">
      <c r="A8" s="25" t="s">
        <v>192</v>
      </c>
      <c r="B8" s="28" t="s">
        <v>193</v>
      </c>
      <c r="C8" s="29">
        <f aca="true" t="shared" si="1" ref="C8:H8">+C9+C10+C13+C11+C12+C15+C171</f>
        <v>0</v>
      </c>
      <c r="D8" s="29">
        <f t="shared" si="1"/>
        <v>337470210</v>
      </c>
      <c r="E8" s="29">
        <f t="shared" si="1"/>
        <v>339862210</v>
      </c>
      <c r="F8" s="29">
        <f t="shared" si="1"/>
        <v>339862210</v>
      </c>
      <c r="G8" s="29">
        <f t="shared" si="1"/>
        <v>339490982.22999996</v>
      </c>
      <c r="H8" s="29">
        <f t="shared" si="1"/>
        <v>32995469.19</v>
      </c>
      <c r="I8" s="43"/>
      <c r="J8" s="43"/>
    </row>
    <row r="9" spans="1:10" s="3" customFormat="1" ht="15">
      <c r="A9" s="25" t="s">
        <v>194</v>
      </c>
      <c r="B9" s="28" t="s">
        <v>195</v>
      </c>
      <c r="C9" s="29">
        <f aca="true" t="shared" si="2" ref="C9:H9">+C23</f>
        <v>0</v>
      </c>
      <c r="D9" s="29">
        <f t="shared" si="2"/>
        <v>4123190</v>
      </c>
      <c r="E9" s="29">
        <f t="shared" si="2"/>
        <v>4123190</v>
      </c>
      <c r="F9" s="29">
        <f t="shared" si="2"/>
        <v>4123190</v>
      </c>
      <c r="G9" s="29">
        <f t="shared" si="2"/>
        <v>4122181</v>
      </c>
      <c r="H9" s="29">
        <f t="shared" si="2"/>
        <v>519520</v>
      </c>
      <c r="I9" s="43"/>
      <c r="J9" s="43"/>
    </row>
    <row r="10" spans="1:10" s="3" customFormat="1" ht="16.5" customHeight="1">
      <c r="A10" s="25" t="s">
        <v>196</v>
      </c>
      <c r="B10" s="28" t="s">
        <v>197</v>
      </c>
      <c r="C10" s="29">
        <f aca="true" t="shared" si="3" ref="C10:H10">+C44</f>
        <v>0</v>
      </c>
      <c r="D10" s="29">
        <f t="shared" si="3"/>
        <v>224157740</v>
      </c>
      <c r="E10" s="29">
        <f t="shared" si="3"/>
        <v>226549740</v>
      </c>
      <c r="F10" s="29">
        <f t="shared" si="3"/>
        <v>226549740</v>
      </c>
      <c r="G10" s="29">
        <f t="shared" si="3"/>
        <v>226514023.02</v>
      </c>
      <c r="H10" s="29">
        <f t="shared" si="3"/>
        <v>18065591.71</v>
      </c>
      <c r="I10" s="43"/>
      <c r="J10" s="43"/>
    </row>
    <row r="11" spans="1:10" s="3" customFormat="1" ht="15">
      <c r="A11" s="25" t="s">
        <v>198</v>
      </c>
      <c r="B11" s="28" t="s">
        <v>199</v>
      </c>
      <c r="C11" s="29">
        <f aca="true" t="shared" si="4" ref="C11:H11">+C72</f>
        <v>0</v>
      </c>
      <c r="D11" s="29">
        <f t="shared" si="4"/>
        <v>0</v>
      </c>
      <c r="E11" s="29">
        <f t="shared" si="4"/>
        <v>0</v>
      </c>
      <c r="F11" s="29">
        <f t="shared" si="4"/>
        <v>0</v>
      </c>
      <c r="G11" s="29">
        <f t="shared" si="4"/>
        <v>0</v>
      </c>
      <c r="H11" s="29">
        <f t="shared" si="4"/>
        <v>0</v>
      </c>
      <c r="I11" s="43"/>
      <c r="J11" s="43"/>
    </row>
    <row r="12" spans="1:10" s="3" customFormat="1" ht="30">
      <c r="A12" s="25"/>
      <c r="B12" s="28" t="s">
        <v>200</v>
      </c>
      <c r="C12" s="29">
        <f aca="true" t="shared" si="5" ref="C12:H12">C172</f>
        <v>0</v>
      </c>
      <c r="D12" s="29">
        <f t="shared" si="5"/>
        <v>88830180</v>
      </c>
      <c r="E12" s="29">
        <f t="shared" si="5"/>
        <v>88830180</v>
      </c>
      <c r="F12" s="29">
        <f t="shared" si="5"/>
        <v>88830180</v>
      </c>
      <c r="G12" s="29">
        <f t="shared" si="5"/>
        <v>88830123</v>
      </c>
      <c r="H12" s="29">
        <f t="shared" si="5"/>
        <v>7748701.25</v>
      </c>
      <c r="I12" s="43"/>
      <c r="J12" s="43"/>
    </row>
    <row r="13" spans="1:10" s="3" customFormat="1" ht="16.5" customHeight="1">
      <c r="A13" s="25" t="s">
        <v>201</v>
      </c>
      <c r="B13" s="28" t="s">
        <v>202</v>
      </c>
      <c r="C13" s="29">
        <f aca="true" t="shared" si="6" ref="C13:H13">C179</f>
        <v>0</v>
      </c>
      <c r="D13" s="29">
        <f t="shared" si="6"/>
        <v>20359100</v>
      </c>
      <c r="E13" s="29">
        <f t="shared" si="6"/>
        <v>20359100</v>
      </c>
      <c r="F13" s="29">
        <f t="shared" si="6"/>
        <v>20359100</v>
      </c>
      <c r="G13" s="29">
        <f t="shared" si="6"/>
        <v>20326498</v>
      </c>
      <c r="H13" s="29">
        <f t="shared" si="6"/>
        <v>6711739</v>
      </c>
      <c r="I13" s="43"/>
      <c r="J13" s="43"/>
    </row>
    <row r="14" spans="1:10" s="3" customFormat="1" ht="45">
      <c r="A14" s="25" t="s">
        <v>203</v>
      </c>
      <c r="B14" s="28" t="s">
        <v>204</v>
      </c>
      <c r="C14" s="29">
        <f aca="true" t="shared" si="7" ref="C14:H14">C186</f>
        <v>0</v>
      </c>
      <c r="D14" s="29">
        <f t="shared" si="7"/>
        <v>0</v>
      </c>
      <c r="E14" s="29">
        <f t="shared" si="7"/>
        <v>0</v>
      </c>
      <c r="F14" s="29">
        <f t="shared" si="7"/>
        <v>0</v>
      </c>
      <c r="G14" s="29">
        <f t="shared" si="7"/>
        <v>0</v>
      </c>
      <c r="H14" s="29">
        <f t="shared" si="7"/>
        <v>0</v>
      </c>
      <c r="I14" s="43"/>
      <c r="J14" s="43"/>
    </row>
    <row r="15" spans="1:10" s="3" customFormat="1" ht="16.5" customHeight="1">
      <c r="A15" s="25" t="s">
        <v>205</v>
      </c>
      <c r="B15" s="28" t="s">
        <v>205</v>
      </c>
      <c r="C15" s="29">
        <f aca="true" t="shared" si="8" ref="C15:H15">C75</f>
        <v>0</v>
      </c>
      <c r="D15" s="29">
        <f t="shared" si="8"/>
        <v>0</v>
      </c>
      <c r="E15" s="29">
        <f t="shared" si="8"/>
        <v>0</v>
      </c>
      <c r="F15" s="29">
        <f t="shared" si="8"/>
        <v>0</v>
      </c>
      <c r="G15" s="29">
        <f t="shared" si="8"/>
        <v>0</v>
      </c>
      <c r="H15" s="29">
        <f t="shared" si="8"/>
        <v>0</v>
      </c>
      <c r="I15" s="43"/>
      <c r="J15" s="43"/>
    </row>
    <row r="16" spans="1:10" s="3" customFormat="1" ht="16.5" customHeight="1">
      <c r="A16" s="25" t="s">
        <v>206</v>
      </c>
      <c r="B16" s="28" t="s">
        <v>207</v>
      </c>
      <c r="C16" s="29">
        <f aca="true" t="shared" si="9" ref="C16:H17">C79</f>
        <v>0</v>
      </c>
      <c r="D16" s="29">
        <f t="shared" si="9"/>
        <v>88000</v>
      </c>
      <c r="E16" s="29">
        <f t="shared" si="9"/>
        <v>88000</v>
      </c>
      <c r="F16" s="29">
        <f t="shared" si="9"/>
        <v>88000</v>
      </c>
      <c r="G16" s="29">
        <f t="shared" si="9"/>
        <v>87798.2</v>
      </c>
      <c r="H16" s="29">
        <f t="shared" si="9"/>
        <v>87798.2</v>
      </c>
      <c r="I16" s="43"/>
      <c r="J16" s="43"/>
    </row>
    <row r="17" spans="1:10" s="3" customFormat="1" ht="15">
      <c r="A17" s="25" t="s">
        <v>208</v>
      </c>
      <c r="B17" s="28" t="s">
        <v>209</v>
      </c>
      <c r="C17" s="29">
        <f t="shared" si="9"/>
        <v>0</v>
      </c>
      <c r="D17" s="29">
        <f t="shared" si="9"/>
        <v>88000</v>
      </c>
      <c r="E17" s="29">
        <f t="shared" si="9"/>
        <v>88000</v>
      </c>
      <c r="F17" s="29">
        <f t="shared" si="9"/>
        <v>88000</v>
      </c>
      <c r="G17" s="29">
        <f t="shared" si="9"/>
        <v>87798.2</v>
      </c>
      <c r="H17" s="29">
        <f t="shared" si="9"/>
        <v>87798.2</v>
      </c>
      <c r="I17" s="43"/>
      <c r="J17" s="43"/>
    </row>
    <row r="18" spans="1:10" s="3" customFormat="1" ht="30">
      <c r="A18" s="25"/>
      <c r="B18" s="28" t="s">
        <v>210</v>
      </c>
      <c r="C18" s="29">
        <f aca="true" t="shared" si="10" ref="C18:H18">C171+C185</f>
        <v>0</v>
      </c>
      <c r="D18" s="29">
        <f t="shared" si="10"/>
        <v>0</v>
      </c>
      <c r="E18" s="29">
        <f t="shared" si="10"/>
        <v>0</v>
      </c>
      <c r="F18" s="29">
        <f t="shared" si="10"/>
        <v>0</v>
      </c>
      <c r="G18" s="29">
        <f t="shared" si="10"/>
        <v>-334118.79000000004</v>
      </c>
      <c r="H18" s="29">
        <f t="shared" si="10"/>
        <v>-76607.77</v>
      </c>
      <c r="I18" s="43"/>
      <c r="J18" s="43"/>
    </row>
    <row r="19" spans="1:10" s="3" customFormat="1" ht="16.5" customHeight="1">
      <c r="A19" s="25" t="s">
        <v>211</v>
      </c>
      <c r="B19" s="28" t="s">
        <v>212</v>
      </c>
      <c r="C19" s="29">
        <f aca="true" t="shared" si="11" ref="C19:H19">+C20+C16</f>
        <v>0</v>
      </c>
      <c r="D19" s="29">
        <f t="shared" si="11"/>
        <v>337558210</v>
      </c>
      <c r="E19" s="29">
        <f t="shared" si="11"/>
        <v>339950210</v>
      </c>
      <c r="F19" s="29">
        <f t="shared" si="11"/>
        <v>339950210</v>
      </c>
      <c r="G19" s="29">
        <f t="shared" si="11"/>
        <v>339578780.42999995</v>
      </c>
      <c r="H19" s="29">
        <f t="shared" si="11"/>
        <v>33083267.39</v>
      </c>
      <c r="I19" s="43"/>
      <c r="J19" s="43"/>
    </row>
    <row r="20" spans="1:10" s="3" customFormat="1" ht="15">
      <c r="A20" s="25" t="s">
        <v>213</v>
      </c>
      <c r="B20" s="28" t="s">
        <v>193</v>
      </c>
      <c r="C20" s="29">
        <f aca="true" t="shared" si="12" ref="C20:H20">C9+C10+C11+C12+C13+C15+C171</f>
        <v>0</v>
      </c>
      <c r="D20" s="29">
        <f t="shared" si="12"/>
        <v>337470210</v>
      </c>
      <c r="E20" s="29">
        <f t="shared" si="12"/>
        <v>339862210</v>
      </c>
      <c r="F20" s="29">
        <f t="shared" si="12"/>
        <v>339862210</v>
      </c>
      <c r="G20" s="29">
        <f t="shared" si="12"/>
        <v>339490982.22999996</v>
      </c>
      <c r="H20" s="29">
        <f t="shared" si="12"/>
        <v>32995469.19</v>
      </c>
      <c r="I20" s="43"/>
      <c r="J20" s="43"/>
    </row>
    <row r="21" spans="1:10" s="3" customFormat="1" ht="16.5" customHeight="1">
      <c r="A21" s="30" t="s">
        <v>214</v>
      </c>
      <c r="B21" s="28" t="s">
        <v>215</v>
      </c>
      <c r="C21" s="29">
        <f aca="true" t="shared" si="13" ref="C21:H21">+C22+C78+C171</f>
        <v>0</v>
      </c>
      <c r="D21" s="29">
        <f t="shared" si="13"/>
        <v>317199110</v>
      </c>
      <c r="E21" s="29">
        <f t="shared" si="13"/>
        <v>319591110</v>
      </c>
      <c r="F21" s="29">
        <f t="shared" si="13"/>
        <v>319591110</v>
      </c>
      <c r="G21" s="29">
        <f t="shared" si="13"/>
        <v>319252282.42999995</v>
      </c>
      <c r="H21" s="29">
        <f t="shared" si="13"/>
        <v>26371528.39</v>
      </c>
      <c r="I21" s="43"/>
      <c r="J21" s="43"/>
    </row>
    <row r="22" spans="1:10" s="3" customFormat="1" ht="16.5" customHeight="1">
      <c r="A22" s="25" t="s">
        <v>216</v>
      </c>
      <c r="B22" s="28" t="s">
        <v>193</v>
      </c>
      <c r="C22" s="29">
        <f aca="true" t="shared" si="14" ref="C22:H22">+C23+C44+C72+C172+C75</f>
        <v>0</v>
      </c>
      <c r="D22" s="29">
        <f t="shared" si="14"/>
        <v>317111110</v>
      </c>
      <c r="E22" s="29">
        <f t="shared" si="14"/>
        <v>319503110</v>
      </c>
      <c r="F22" s="29">
        <f t="shared" si="14"/>
        <v>319503110</v>
      </c>
      <c r="G22" s="29">
        <f t="shared" si="14"/>
        <v>319466327.02</v>
      </c>
      <c r="H22" s="29">
        <f t="shared" si="14"/>
        <v>26333812.96</v>
      </c>
      <c r="I22" s="43"/>
      <c r="J22" s="43"/>
    </row>
    <row r="23" spans="1:10" s="3" customFormat="1" ht="15">
      <c r="A23" s="25" t="s">
        <v>217</v>
      </c>
      <c r="B23" s="28" t="s">
        <v>195</v>
      </c>
      <c r="C23" s="29">
        <f aca="true" t="shared" si="15" ref="C23:H23">+C24+C36+C34</f>
        <v>0</v>
      </c>
      <c r="D23" s="29">
        <f t="shared" si="15"/>
        <v>4123190</v>
      </c>
      <c r="E23" s="29">
        <f t="shared" si="15"/>
        <v>4123190</v>
      </c>
      <c r="F23" s="29">
        <f t="shared" si="15"/>
        <v>4123190</v>
      </c>
      <c r="G23" s="29">
        <f t="shared" si="15"/>
        <v>4122181</v>
      </c>
      <c r="H23" s="29">
        <f t="shared" si="15"/>
        <v>519520</v>
      </c>
      <c r="I23" s="43"/>
      <c r="J23" s="43"/>
    </row>
    <row r="24" spans="1:256" ht="16.5" customHeight="1">
      <c r="A24" s="25" t="s">
        <v>218</v>
      </c>
      <c r="B24" s="28" t="s">
        <v>219</v>
      </c>
      <c r="C24" s="29">
        <f aca="true" t="shared" si="16" ref="C24:H24">C25+C28+C29+C30+C32+C26+C27+C31</f>
        <v>0</v>
      </c>
      <c r="D24" s="29">
        <f t="shared" si="16"/>
        <v>3983270</v>
      </c>
      <c r="E24" s="29">
        <f t="shared" si="16"/>
        <v>3983270</v>
      </c>
      <c r="F24" s="29">
        <f t="shared" si="16"/>
        <v>3983270</v>
      </c>
      <c r="G24" s="29">
        <f t="shared" si="16"/>
        <v>3982284</v>
      </c>
      <c r="H24" s="29">
        <f t="shared" si="16"/>
        <v>511524</v>
      </c>
      <c r="I24" s="43"/>
      <c r="J24" s="43"/>
      <c r="K24" s="3"/>
      <c r="IM24" s="3"/>
      <c r="IN24" s="3"/>
      <c r="IO24" s="3"/>
      <c r="IP24" s="3"/>
      <c r="IQ24" s="3"/>
      <c r="IR24" s="3"/>
      <c r="IS24" s="3"/>
      <c r="IT24" s="3"/>
      <c r="IU24" s="3"/>
      <c r="IV24" s="3"/>
    </row>
    <row r="25" spans="1:256" ht="16.5" customHeight="1">
      <c r="A25" s="31" t="s">
        <v>220</v>
      </c>
      <c r="B25" s="32" t="s">
        <v>221</v>
      </c>
      <c r="C25" s="33"/>
      <c r="D25" s="34">
        <v>3177450</v>
      </c>
      <c r="E25" s="34">
        <v>3177450</v>
      </c>
      <c r="F25" s="34">
        <v>3177450</v>
      </c>
      <c r="G25" s="35">
        <f>1063034+267102+268742+261999+249836+269294+269149+264422+263872</f>
        <v>3177450</v>
      </c>
      <c r="H25" s="35">
        <v>263872</v>
      </c>
      <c r="I25" s="43"/>
      <c r="J25" s="43"/>
      <c r="IM25" s="3"/>
      <c r="IN25" s="3"/>
      <c r="IO25" s="3"/>
      <c r="IP25" s="3"/>
      <c r="IQ25" s="3"/>
      <c r="IR25" s="3"/>
      <c r="IS25" s="3"/>
      <c r="IT25" s="3"/>
      <c r="IU25" s="3"/>
      <c r="IV25" s="3"/>
    </row>
    <row r="26" spans="1:256" ht="15">
      <c r="A26" s="31"/>
      <c r="B26" s="32" t="s">
        <v>222</v>
      </c>
      <c r="C26" s="33"/>
      <c r="D26" s="34">
        <v>422730</v>
      </c>
      <c r="E26" s="34">
        <v>422730</v>
      </c>
      <c r="F26" s="34">
        <v>422730</v>
      </c>
      <c r="G26" s="35">
        <f>145879+35917+35060+34641+34798+27452+36117+35803+36940</f>
        <v>422607</v>
      </c>
      <c r="H26" s="35">
        <v>36940</v>
      </c>
      <c r="I26" s="43"/>
      <c r="J26" s="43"/>
      <c r="IM26" s="3"/>
      <c r="IN26" s="3"/>
      <c r="IO26" s="3"/>
      <c r="IP26" s="3"/>
      <c r="IQ26" s="3"/>
      <c r="IR26" s="3"/>
      <c r="IS26" s="3"/>
      <c r="IT26" s="3"/>
      <c r="IU26" s="3"/>
      <c r="IV26" s="3"/>
    </row>
    <row r="27" spans="1:256" ht="15">
      <c r="A27" s="31"/>
      <c r="B27" s="32" t="s">
        <v>223</v>
      </c>
      <c r="C27" s="33"/>
      <c r="D27" s="34">
        <v>21810</v>
      </c>
      <c r="E27" s="34">
        <v>21810</v>
      </c>
      <c r="F27" s="34">
        <v>21810</v>
      </c>
      <c r="G27" s="35">
        <f>8474+949+1054+999+2062+1637+2129+2049+2451</f>
        <v>21804</v>
      </c>
      <c r="H27" s="35">
        <v>2451</v>
      </c>
      <c r="I27" s="43"/>
      <c r="J27" s="43"/>
      <c r="IM27" s="3"/>
      <c r="IN27" s="3"/>
      <c r="IO27" s="3"/>
      <c r="IP27" s="3"/>
      <c r="IQ27" s="3"/>
      <c r="IR27" s="3"/>
      <c r="IS27" s="3"/>
      <c r="IT27" s="3"/>
      <c r="IU27" s="3"/>
      <c r="IV27" s="3"/>
    </row>
    <row r="28" spans="1:256" ht="16.5" customHeight="1">
      <c r="A28" s="31" t="s">
        <v>224</v>
      </c>
      <c r="B28" s="36" t="s">
        <v>225</v>
      </c>
      <c r="C28" s="33"/>
      <c r="D28" s="34">
        <v>12250</v>
      </c>
      <c r="E28" s="34">
        <v>12250</v>
      </c>
      <c r="F28" s="34">
        <v>12250</v>
      </c>
      <c r="G28" s="35">
        <f>3552+1036+592+1036+740+1085+1135+988+1676</f>
        <v>11840</v>
      </c>
      <c r="H28" s="35">
        <v>1676</v>
      </c>
      <c r="I28" s="43"/>
      <c r="J28" s="43"/>
      <c r="IM28" s="3"/>
      <c r="IN28" s="3"/>
      <c r="IO28" s="3"/>
      <c r="IP28" s="3"/>
      <c r="IQ28" s="3"/>
      <c r="IR28" s="3"/>
      <c r="IS28" s="3"/>
      <c r="IT28" s="3"/>
      <c r="IU28" s="3"/>
      <c r="IV28" s="3"/>
    </row>
    <row r="29" spans="1:256" ht="16.5" customHeight="1">
      <c r="A29" s="31" t="s">
        <v>226</v>
      </c>
      <c r="B29" s="36" t="s">
        <v>227</v>
      </c>
      <c r="C29" s="33"/>
      <c r="D29" s="34">
        <v>180</v>
      </c>
      <c r="E29" s="34">
        <v>180</v>
      </c>
      <c r="F29" s="34">
        <v>180</v>
      </c>
      <c r="G29" s="35">
        <v>140</v>
      </c>
      <c r="H29" s="35">
        <v>140</v>
      </c>
      <c r="I29" s="43"/>
      <c r="J29" s="43"/>
      <c r="IM29" s="3"/>
      <c r="IN29" s="3"/>
      <c r="IO29" s="3"/>
      <c r="IP29" s="3"/>
      <c r="IQ29" s="3"/>
      <c r="IR29" s="3"/>
      <c r="IS29" s="3"/>
      <c r="IT29" s="3"/>
      <c r="IU29" s="3"/>
      <c r="IV29" s="3"/>
    </row>
    <row r="30" spans="1:10" ht="16.5" customHeight="1">
      <c r="A30" s="31"/>
      <c r="B30" s="36" t="s">
        <v>228</v>
      </c>
      <c r="C30" s="33"/>
      <c r="D30" s="34"/>
      <c r="E30" s="34"/>
      <c r="F30" s="35"/>
      <c r="G30" s="35"/>
      <c r="H30" s="35"/>
      <c r="I30" s="43"/>
      <c r="J30" s="43"/>
    </row>
    <row r="31" spans="1:256" ht="16.5" customHeight="1">
      <c r="A31" s="31"/>
      <c r="B31" s="36" t="s">
        <v>229</v>
      </c>
      <c r="C31" s="33"/>
      <c r="D31" s="34">
        <v>128260</v>
      </c>
      <c r="E31" s="34">
        <v>128260</v>
      </c>
      <c r="F31" s="34">
        <v>128260</v>
      </c>
      <c r="G31" s="35">
        <f>36307+12008+11750+11562+11500+9103+11925+11816+12038</f>
        <v>128009</v>
      </c>
      <c r="H31" s="35">
        <v>12038</v>
      </c>
      <c r="I31" s="43"/>
      <c r="J31" s="43"/>
      <c r="IM31" s="3"/>
      <c r="IN31" s="3"/>
      <c r="IO31" s="3"/>
      <c r="IP31" s="3"/>
      <c r="IQ31" s="3"/>
      <c r="IR31" s="3"/>
      <c r="IS31" s="3"/>
      <c r="IT31" s="3"/>
      <c r="IU31" s="3"/>
      <c r="IV31" s="3"/>
    </row>
    <row r="32" spans="1:10" ht="16.5" customHeight="1">
      <c r="A32" s="31" t="s">
        <v>230</v>
      </c>
      <c r="B32" s="36" t="s">
        <v>231</v>
      </c>
      <c r="C32" s="33"/>
      <c r="D32" s="34">
        <v>220590</v>
      </c>
      <c r="E32" s="34">
        <v>220590</v>
      </c>
      <c r="F32" s="34">
        <v>220590</v>
      </c>
      <c r="G32" s="35">
        <f>10430+10833+4764+194407</f>
        <v>220434</v>
      </c>
      <c r="H32" s="35">
        <v>194407</v>
      </c>
      <c r="I32" s="43"/>
      <c r="J32" s="43"/>
    </row>
    <row r="33" spans="1:10" ht="16.5" customHeight="1">
      <c r="A33" s="31"/>
      <c r="B33" s="36" t="s">
        <v>232</v>
      </c>
      <c r="C33" s="33"/>
      <c r="D33" s="34">
        <v>192050</v>
      </c>
      <c r="E33" s="35">
        <v>192050</v>
      </c>
      <c r="F33" s="35">
        <v>192050</v>
      </c>
      <c r="G33" s="35">
        <v>192046</v>
      </c>
      <c r="H33" s="35">
        <v>192046</v>
      </c>
      <c r="I33" s="43"/>
      <c r="J33" s="43"/>
    </row>
    <row r="34" spans="1:10" ht="16.5" customHeight="1">
      <c r="A34" s="31"/>
      <c r="B34" s="28" t="s">
        <v>233</v>
      </c>
      <c r="C34" s="33">
        <f aca="true" t="shared" si="17" ref="C34:H34">C35</f>
        <v>0</v>
      </c>
      <c r="D34" s="33">
        <f t="shared" si="17"/>
        <v>55100</v>
      </c>
      <c r="E34" s="33">
        <f t="shared" si="17"/>
        <v>55100</v>
      </c>
      <c r="F34" s="33">
        <f t="shared" si="17"/>
        <v>55100</v>
      </c>
      <c r="G34" s="33">
        <f t="shared" si="17"/>
        <v>55100</v>
      </c>
      <c r="H34" s="33">
        <f t="shared" si="17"/>
        <v>850</v>
      </c>
      <c r="I34" s="43"/>
      <c r="J34" s="43"/>
    </row>
    <row r="35" spans="1:256" s="3" customFormat="1" ht="16.5" customHeight="1">
      <c r="A35" s="31"/>
      <c r="B35" s="36" t="s">
        <v>234</v>
      </c>
      <c r="C35" s="33"/>
      <c r="D35" s="34">
        <v>55100</v>
      </c>
      <c r="E35" s="35">
        <v>55100</v>
      </c>
      <c r="F35" s="35">
        <v>55100</v>
      </c>
      <c r="G35" s="35">
        <f>54250+850</f>
        <v>55100</v>
      </c>
      <c r="H35" s="35">
        <v>850</v>
      </c>
      <c r="I35" s="43"/>
      <c r="J35" s="43"/>
      <c r="K35" s="8"/>
      <c r="IM35" s="8"/>
      <c r="IN35" s="8"/>
      <c r="IO35" s="8"/>
      <c r="IP35" s="8"/>
      <c r="IQ35" s="8"/>
      <c r="IR35" s="8"/>
      <c r="IS35" s="8"/>
      <c r="IT35" s="8"/>
      <c r="IU35" s="8"/>
      <c r="IV35" s="8"/>
    </row>
    <row r="36" spans="1:11" ht="16.5" customHeight="1">
      <c r="A36" s="25" t="s">
        <v>235</v>
      </c>
      <c r="B36" s="28" t="s">
        <v>236</v>
      </c>
      <c r="C36" s="29">
        <f aca="true" t="shared" si="18" ref="C36:H36">+C37+C38+C39+C40+C41+C42+C43</f>
        <v>0</v>
      </c>
      <c r="D36" s="29">
        <f t="shared" si="18"/>
        <v>84820</v>
      </c>
      <c r="E36" s="29">
        <f t="shared" si="18"/>
        <v>84820</v>
      </c>
      <c r="F36" s="29">
        <f t="shared" si="18"/>
        <v>84820</v>
      </c>
      <c r="G36" s="29">
        <f t="shared" si="18"/>
        <v>84797</v>
      </c>
      <c r="H36" s="29">
        <f t="shared" si="18"/>
        <v>7146</v>
      </c>
      <c r="I36" s="43"/>
      <c r="J36" s="43"/>
      <c r="K36" s="3"/>
    </row>
    <row r="37" spans="1:10" ht="16.5" customHeight="1">
      <c r="A37" s="31" t="s">
        <v>237</v>
      </c>
      <c r="B37" s="36" t="s">
        <v>238</v>
      </c>
      <c r="C37" s="33"/>
      <c r="D37" s="34"/>
      <c r="E37" s="34"/>
      <c r="F37" s="34"/>
      <c r="G37" s="35"/>
      <c r="H37" s="35"/>
      <c r="I37" s="43"/>
      <c r="J37" s="43"/>
    </row>
    <row r="38" spans="1:10" ht="16.5" customHeight="1">
      <c r="A38" s="31" t="s">
        <v>239</v>
      </c>
      <c r="B38" s="36" t="s">
        <v>240</v>
      </c>
      <c r="C38" s="33"/>
      <c r="D38" s="34"/>
      <c r="E38" s="34"/>
      <c r="F38" s="34"/>
      <c r="G38" s="35"/>
      <c r="H38" s="35"/>
      <c r="I38" s="43"/>
      <c r="J38" s="43"/>
    </row>
    <row r="39" spans="1:256" ht="16.5" customHeight="1">
      <c r="A39" s="31" t="s">
        <v>241</v>
      </c>
      <c r="B39" s="36" t="s">
        <v>242</v>
      </c>
      <c r="C39" s="33"/>
      <c r="D39" s="34"/>
      <c r="E39" s="34"/>
      <c r="F39" s="34"/>
      <c r="G39" s="35"/>
      <c r="H39" s="35"/>
      <c r="I39" s="43"/>
      <c r="J39" s="43"/>
      <c r="IM39" s="3"/>
      <c r="IN39" s="3"/>
      <c r="IO39" s="3"/>
      <c r="IP39" s="3"/>
      <c r="IQ39" s="3"/>
      <c r="IR39" s="3"/>
      <c r="IS39" s="3"/>
      <c r="IT39" s="3"/>
      <c r="IU39" s="3"/>
      <c r="IV39" s="3"/>
    </row>
    <row r="40" spans="1:256" s="3" customFormat="1" ht="34.5" customHeight="1">
      <c r="A40" s="31" t="s">
        <v>243</v>
      </c>
      <c r="B40" s="37" t="s">
        <v>244</v>
      </c>
      <c r="C40" s="33"/>
      <c r="D40" s="34"/>
      <c r="E40" s="34"/>
      <c r="F40" s="34"/>
      <c r="G40" s="35"/>
      <c r="H40" s="35"/>
      <c r="I40" s="43"/>
      <c r="J40" s="43"/>
      <c r="K40" s="8"/>
      <c r="IM40" s="8"/>
      <c r="IN40" s="8"/>
      <c r="IO40" s="8"/>
      <c r="IP40" s="8"/>
      <c r="IQ40" s="8"/>
      <c r="IR40" s="8"/>
      <c r="IS40" s="8"/>
      <c r="IT40" s="8"/>
      <c r="IU40" s="8"/>
      <c r="IV40" s="8"/>
    </row>
    <row r="41" spans="1:256" s="3" customFormat="1" ht="16.5" customHeight="1">
      <c r="A41" s="31" t="s">
        <v>245</v>
      </c>
      <c r="B41" s="37" t="s">
        <v>42</v>
      </c>
      <c r="C41" s="33"/>
      <c r="D41" s="34"/>
      <c r="E41" s="34"/>
      <c r="F41" s="34"/>
      <c r="G41" s="35"/>
      <c r="H41" s="35"/>
      <c r="I41" s="43"/>
      <c r="J41" s="43"/>
      <c r="IM41" s="8"/>
      <c r="IN41" s="8"/>
      <c r="IO41" s="8"/>
      <c r="IP41" s="8"/>
      <c r="IQ41" s="8"/>
      <c r="IR41" s="8"/>
      <c r="IS41" s="8"/>
      <c r="IT41" s="8"/>
      <c r="IU41" s="8"/>
      <c r="IV41" s="8"/>
    </row>
    <row r="42" spans="1:256" s="3" customFormat="1" ht="21" customHeight="1">
      <c r="A42" s="31"/>
      <c r="B42" s="37" t="s">
        <v>246</v>
      </c>
      <c r="C42" s="33"/>
      <c r="D42" s="34">
        <v>84820</v>
      </c>
      <c r="E42" s="34">
        <v>84820</v>
      </c>
      <c r="F42" s="34">
        <v>84820</v>
      </c>
      <c r="G42" s="35">
        <f>28422+6937+6921+6905+7117+6945+7208+7196+7146</f>
        <v>84797</v>
      </c>
      <c r="H42" s="35">
        <v>7146</v>
      </c>
      <c r="I42" s="43"/>
      <c r="J42" s="43"/>
      <c r="IM42" s="8"/>
      <c r="IN42" s="8"/>
      <c r="IO42" s="8"/>
      <c r="IP42" s="8"/>
      <c r="IQ42" s="8"/>
      <c r="IR42" s="8"/>
      <c r="IS42" s="8"/>
      <c r="IT42" s="8"/>
      <c r="IU42" s="8"/>
      <c r="IV42" s="8"/>
    </row>
    <row r="43" spans="1:256" s="3" customFormat="1" ht="27.75" customHeight="1">
      <c r="A43" s="31"/>
      <c r="B43" s="37" t="s">
        <v>247</v>
      </c>
      <c r="C43" s="33"/>
      <c r="D43" s="34"/>
      <c r="E43" s="34"/>
      <c r="F43" s="34"/>
      <c r="G43" s="35"/>
      <c r="H43" s="35"/>
      <c r="I43" s="43"/>
      <c r="J43" s="43"/>
      <c r="IM43" s="8"/>
      <c r="IN43" s="8"/>
      <c r="IO43" s="8"/>
      <c r="IP43" s="8"/>
      <c r="IQ43" s="8"/>
      <c r="IR43" s="8"/>
      <c r="IS43" s="8"/>
      <c r="IT43" s="8"/>
      <c r="IU43" s="8"/>
      <c r="IV43" s="8"/>
    </row>
    <row r="44" spans="1:11" ht="16.5" customHeight="1">
      <c r="A44" s="25" t="s">
        <v>248</v>
      </c>
      <c r="B44" s="28" t="s">
        <v>197</v>
      </c>
      <c r="C44" s="29">
        <f aca="true" t="shared" si="19" ref="C44:H44">+C45+C59+C58+C61+C64+C66+C67+C69+C65+C68</f>
        <v>0</v>
      </c>
      <c r="D44" s="29">
        <f t="shared" si="19"/>
        <v>224157740</v>
      </c>
      <c r="E44" s="29">
        <f t="shared" si="19"/>
        <v>226549740</v>
      </c>
      <c r="F44" s="29">
        <f t="shared" si="19"/>
        <v>226549740</v>
      </c>
      <c r="G44" s="29">
        <f t="shared" si="19"/>
        <v>226514023.02</v>
      </c>
      <c r="H44" s="29">
        <f t="shared" si="19"/>
        <v>18065591.71</v>
      </c>
      <c r="I44" s="43"/>
      <c r="J44" s="43"/>
      <c r="K44" s="3"/>
    </row>
    <row r="45" spans="1:10" ht="16.5" customHeight="1">
      <c r="A45" s="25" t="s">
        <v>249</v>
      </c>
      <c r="B45" s="28" t="s">
        <v>250</v>
      </c>
      <c r="C45" s="29">
        <f aca="true" t="shared" si="20" ref="C45:H45">+C46+C47+C48+C49+C50+C51+C52+C53+C55</f>
        <v>0</v>
      </c>
      <c r="D45" s="29">
        <f t="shared" si="20"/>
        <v>224057880</v>
      </c>
      <c r="E45" s="29">
        <f t="shared" si="20"/>
        <v>226449880</v>
      </c>
      <c r="F45" s="29">
        <f t="shared" si="20"/>
        <v>226449880</v>
      </c>
      <c r="G45" s="29">
        <f t="shared" si="20"/>
        <v>226417682.47</v>
      </c>
      <c r="H45" s="29">
        <f t="shared" si="20"/>
        <v>18041295.439999998</v>
      </c>
      <c r="I45" s="43"/>
      <c r="J45" s="43"/>
    </row>
    <row r="46" spans="1:256" ht="16.5" customHeight="1">
      <c r="A46" s="31" t="s">
        <v>251</v>
      </c>
      <c r="B46" s="36" t="s">
        <v>252</v>
      </c>
      <c r="C46" s="33"/>
      <c r="D46" s="34">
        <v>38550</v>
      </c>
      <c r="E46" s="34">
        <v>38550</v>
      </c>
      <c r="F46" s="34">
        <v>38550</v>
      </c>
      <c r="G46" s="35">
        <f>9419.94+4535.98+3630.69+3384.07+508.73+4566.86+4291.73+8210.26</f>
        <v>38548.26</v>
      </c>
      <c r="H46" s="35">
        <v>8210.26</v>
      </c>
      <c r="I46" s="43"/>
      <c r="J46" s="43"/>
      <c r="IM46" s="3"/>
      <c r="IN46" s="3"/>
      <c r="IO46" s="3"/>
      <c r="IP46" s="3"/>
      <c r="IQ46" s="3"/>
      <c r="IR46" s="3"/>
      <c r="IS46" s="3"/>
      <c r="IT46" s="3"/>
      <c r="IU46" s="3"/>
      <c r="IV46" s="3"/>
    </row>
    <row r="47" spans="1:256" ht="16.5" customHeight="1">
      <c r="A47" s="31" t="s">
        <v>253</v>
      </c>
      <c r="B47" s="36" t="s">
        <v>254</v>
      </c>
      <c r="C47" s="33"/>
      <c r="D47" s="34">
        <v>1500</v>
      </c>
      <c r="E47" s="34">
        <v>1500</v>
      </c>
      <c r="F47" s="34">
        <v>1500</v>
      </c>
      <c r="G47" s="35">
        <f>497.62+501.84+238.7+260.2</f>
        <v>1498.3600000000001</v>
      </c>
      <c r="H47" s="35">
        <v>260.2</v>
      </c>
      <c r="I47" s="43"/>
      <c r="J47" s="43"/>
      <c r="IM47" s="3"/>
      <c r="IN47" s="3"/>
      <c r="IO47" s="3"/>
      <c r="IP47" s="3"/>
      <c r="IQ47" s="3"/>
      <c r="IR47" s="3"/>
      <c r="IS47" s="3"/>
      <c r="IT47" s="3"/>
      <c r="IU47" s="3"/>
      <c r="IV47" s="3"/>
    </row>
    <row r="48" spans="1:10" ht="16.5" customHeight="1">
      <c r="A48" s="31" t="s">
        <v>255</v>
      </c>
      <c r="B48" s="36" t="s">
        <v>256</v>
      </c>
      <c r="C48" s="33"/>
      <c r="D48" s="34">
        <v>65000</v>
      </c>
      <c r="E48" s="34">
        <v>65000</v>
      </c>
      <c r="F48" s="34">
        <v>65000</v>
      </c>
      <c r="G48" s="35">
        <f>28336.91+2933.09+7000+4500+4000+4405.96+2036.46+10734.49</f>
        <v>63946.909999999996</v>
      </c>
      <c r="H48" s="35">
        <v>10734.49</v>
      </c>
      <c r="I48" s="43"/>
      <c r="J48" s="43"/>
    </row>
    <row r="49" spans="1:10" ht="16.5" customHeight="1">
      <c r="A49" s="31" t="s">
        <v>257</v>
      </c>
      <c r="B49" s="36" t="s">
        <v>258</v>
      </c>
      <c r="C49" s="33"/>
      <c r="D49" s="34">
        <v>10000</v>
      </c>
      <c r="E49" s="34">
        <v>10000</v>
      </c>
      <c r="F49" s="34">
        <v>10000</v>
      </c>
      <c r="G49" s="35">
        <f>3778.07+616.77+265.16+981.56+1040.26+818.18+740.54+991.33+746.75</f>
        <v>9978.62</v>
      </c>
      <c r="H49" s="35">
        <v>746.75</v>
      </c>
      <c r="I49" s="43"/>
      <c r="J49" s="43"/>
    </row>
    <row r="50" spans="1:10" ht="16.5" customHeight="1">
      <c r="A50" s="31" t="s">
        <v>259</v>
      </c>
      <c r="B50" s="36" t="s">
        <v>260</v>
      </c>
      <c r="C50" s="33"/>
      <c r="D50" s="34">
        <v>11500</v>
      </c>
      <c r="E50" s="34">
        <v>11500</v>
      </c>
      <c r="F50" s="34">
        <v>11500</v>
      </c>
      <c r="G50" s="35">
        <f>7767.91+3510.23+221</f>
        <v>11499.14</v>
      </c>
      <c r="H50" s="35">
        <f>221</f>
        <v>221</v>
      </c>
      <c r="I50" s="43"/>
      <c r="J50" s="43"/>
    </row>
    <row r="51" spans="1:256" s="3" customFormat="1" ht="16.5" customHeight="1">
      <c r="A51" s="31" t="s">
        <v>261</v>
      </c>
      <c r="B51" s="36" t="s">
        <v>262</v>
      </c>
      <c r="C51" s="33"/>
      <c r="D51" s="34">
        <v>8500</v>
      </c>
      <c r="E51" s="34">
        <v>8500</v>
      </c>
      <c r="F51" s="34">
        <v>8500</v>
      </c>
      <c r="G51" s="35">
        <f>2225.72+158.27+4103.95+2005.15</f>
        <v>8493.09</v>
      </c>
      <c r="H51" s="35">
        <v>2005.15</v>
      </c>
      <c r="I51" s="43"/>
      <c r="J51" s="43"/>
      <c r="K51" s="8"/>
      <c r="IM51" s="8"/>
      <c r="IN51" s="8"/>
      <c r="IO51" s="8"/>
      <c r="IP51" s="8"/>
      <c r="IQ51" s="8"/>
      <c r="IR51" s="8"/>
      <c r="IS51" s="8"/>
      <c r="IT51" s="8"/>
      <c r="IU51" s="8"/>
      <c r="IV51" s="8"/>
    </row>
    <row r="52" spans="1:256" s="4" customFormat="1" ht="16.5" customHeight="1">
      <c r="A52" s="31" t="s">
        <v>263</v>
      </c>
      <c r="B52" s="36" t="s">
        <v>264</v>
      </c>
      <c r="C52" s="33"/>
      <c r="D52" s="34">
        <v>38000</v>
      </c>
      <c r="E52" s="34">
        <v>38000</v>
      </c>
      <c r="F52" s="34">
        <v>38000</v>
      </c>
      <c r="G52" s="35">
        <f>11893.47+3391.5+2581.38+2555.47+4153.53+2734.61+3827.24+3246.18+3290.24</f>
        <v>37673.619999999995</v>
      </c>
      <c r="H52" s="35">
        <v>3290.24</v>
      </c>
      <c r="I52" s="43"/>
      <c r="J52" s="43"/>
      <c r="K52" s="3"/>
      <c r="IM52" s="8"/>
      <c r="IN52" s="8"/>
      <c r="IO52" s="8"/>
      <c r="IP52" s="8"/>
      <c r="IQ52" s="8"/>
      <c r="IR52" s="8"/>
      <c r="IS52" s="8"/>
      <c r="IT52" s="8"/>
      <c r="IU52" s="8"/>
      <c r="IV52" s="8"/>
    </row>
    <row r="53" spans="1:11" ht="16.5" customHeight="1">
      <c r="A53" s="25" t="s">
        <v>265</v>
      </c>
      <c r="B53" s="28" t="s">
        <v>266</v>
      </c>
      <c r="C53" s="38">
        <f aca="true" t="shared" si="21" ref="C53:H53">+C54+C89</f>
        <v>0</v>
      </c>
      <c r="D53" s="29">
        <f t="shared" si="21"/>
        <v>223686300</v>
      </c>
      <c r="E53" s="29">
        <f t="shared" si="21"/>
        <v>226078300</v>
      </c>
      <c r="F53" s="29">
        <f t="shared" si="21"/>
        <v>226078300</v>
      </c>
      <c r="G53" s="29">
        <f t="shared" si="21"/>
        <v>226052337.09</v>
      </c>
      <c r="H53" s="29">
        <f t="shared" si="21"/>
        <v>17978569.479999997</v>
      </c>
      <c r="I53" s="43"/>
      <c r="J53" s="43"/>
      <c r="K53" s="4"/>
    </row>
    <row r="54" spans="1:256" s="3" customFormat="1" ht="16.5" customHeight="1">
      <c r="A54" s="39"/>
      <c r="B54" s="40" t="s">
        <v>267</v>
      </c>
      <c r="C54" s="41"/>
      <c r="D54" s="34">
        <v>15700</v>
      </c>
      <c r="E54" s="34">
        <v>15700</v>
      </c>
      <c r="F54" s="34">
        <v>15700</v>
      </c>
      <c r="G54" s="35">
        <f>2446.84+918.38+1358.12+509.99+2562+2359.78+3835.99+1696.97</f>
        <v>15688.07</v>
      </c>
      <c r="H54" s="35">
        <v>1696.97</v>
      </c>
      <c r="I54" s="43"/>
      <c r="J54" s="43"/>
      <c r="K54" s="8"/>
      <c r="IM54" s="8"/>
      <c r="IN54" s="8"/>
      <c r="IO54" s="8"/>
      <c r="IP54" s="8"/>
      <c r="IQ54" s="8"/>
      <c r="IR54" s="8"/>
      <c r="IS54" s="8"/>
      <c r="IT54" s="8"/>
      <c r="IU54" s="8"/>
      <c r="IV54" s="8"/>
    </row>
    <row r="55" spans="1:10" s="3" customFormat="1" ht="16.5" customHeight="1">
      <c r="A55" s="31" t="s">
        <v>268</v>
      </c>
      <c r="B55" s="36" t="s">
        <v>269</v>
      </c>
      <c r="C55" s="33"/>
      <c r="D55" s="34">
        <v>198530</v>
      </c>
      <c r="E55" s="34">
        <v>198530</v>
      </c>
      <c r="F55" s="34">
        <v>198530</v>
      </c>
      <c r="G55" s="35">
        <f>56276.03+16602.25+13945.37+17007.12+8409.41+4664.73+5832.96+20650.05+4664.73+8396.86+37257.87</f>
        <v>193707.38</v>
      </c>
      <c r="H55" s="35">
        <v>37257.87</v>
      </c>
      <c r="I55" s="43"/>
      <c r="J55" s="43"/>
    </row>
    <row r="56" spans="1:256" s="3" customFormat="1" ht="16.5" customHeight="1">
      <c r="A56" s="31"/>
      <c r="B56" s="36" t="s">
        <v>270</v>
      </c>
      <c r="C56" s="33"/>
      <c r="D56" s="34">
        <v>22540</v>
      </c>
      <c r="E56" s="34">
        <v>22540</v>
      </c>
      <c r="F56" s="34">
        <v>22540</v>
      </c>
      <c r="G56" s="35">
        <f>22406.29</f>
        <v>22406.29</v>
      </c>
      <c r="H56" s="35">
        <v>22406.29</v>
      </c>
      <c r="I56" s="43"/>
      <c r="J56" s="43"/>
      <c r="IM56" s="4"/>
      <c r="IN56" s="4"/>
      <c r="IO56" s="4"/>
      <c r="IP56" s="4"/>
      <c r="IQ56" s="4"/>
      <c r="IR56" s="4"/>
      <c r="IS56" s="4"/>
      <c r="IT56" s="4"/>
      <c r="IU56" s="4"/>
      <c r="IV56" s="4"/>
    </row>
    <row r="57" spans="1:256" s="3" customFormat="1" ht="16.5" customHeight="1">
      <c r="A57" s="31"/>
      <c r="B57" s="36" t="s">
        <v>271</v>
      </c>
      <c r="C57" s="33"/>
      <c r="D57" s="34">
        <v>56000</v>
      </c>
      <c r="E57" s="34">
        <v>56000</v>
      </c>
      <c r="F57" s="34">
        <v>56000</v>
      </c>
      <c r="G57" s="35">
        <f>13994.19+4664.73+4664.73+4664.73+4664.73+4664.73+4664.73+4664.73+4664.73</f>
        <v>51312.029999999984</v>
      </c>
      <c r="H57" s="35">
        <v>4664.73</v>
      </c>
      <c r="I57" s="43"/>
      <c r="J57" s="43"/>
      <c r="IM57" s="8"/>
      <c r="IN57" s="8"/>
      <c r="IO57" s="8"/>
      <c r="IP57" s="8"/>
      <c r="IQ57" s="8"/>
      <c r="IR57" s="8"/>
      <c r="IS57" s="8"/>
      <c r="IT57" s="8"/>
      <c r="IU57" s="8"/>
      <c r="IV57" s="8"/>
    </row>
    <row r="58" spans="1:256" ht="16.5" customHeight="1">
      <c r="A58" s="25" t="s">
        <v>272</v>
      </c>
      <c r="B58" s="36" t="s">
        <v>273</v>
      </c>
      <c r="C58" s="33"/>
      <c r="D58" s="34"/>
      <c r="E58" s="34"/>
      <c r="F58" s="35"/>
      <c r="G58" s="35"/>
      <c r="H58" s="35"/>
      <c r="I58" s="43"/>
      <c r="J58" s="43"/>
      <c r="K58" s="3"/>
      <c r="IM58" s="3"/>
      <c r="IN58" s="3"/>
      <c r="IO58" s="3"/>
      <c r="IP58" s="3"/>
      <c r="IQ58" s="3"/>
      <c r="IR58" s="3"/>
      <c r="IS58" s="3"/>
      <c r="IT58" s="3"/>
      <c r="IU58" s="3"/>
      <c r="IV58" s="3"/>
    </row>
    <row r="59" spans="1:11" s="3" customFormat="1" ht="16.5" customHeight="1">
      <c r="A59" s="25" t="s">
        <v>274</v>
      </c>
      <c r="B59" s="28" t="s">
        <v>275</v>
      </c>
      <c r="C59" s="42">
        <f aca="true" t="shared" si="22" ref="C59:H59">+C60</f>
        <v>0</v>
      </c>
      <c r="D59" s="42">
        <f t="shared" si="22"/>
        <v>35640</v>
      </c>
      <c r="E59" s="42">
        <f t="shared" si="22"/>
        <v>35640</v>
      </c>
      <c r="F59" s="42">
        <f t="shared" si="22"/>
        <v>35640</v>
      </c>
      <c r="G59" s="42">
        <f t="shared" si="22"/>
        <v>35601.55</v>
      </c>
      <c r="H59" s="42">
        <f t="shared" si="22"/>
        <v>17085.01</v>
      </c>
      <c r="I59" s="43"/>
      <c r="J59" s="43"/>
      <c r="K59" s="8"/>
    </row>
    <row r="60" spans="1:256" ht="16.5" customHeight="1">
      <c r="A60" s="31" t="s">
        <v>276</v>
      </c>
      <c r="B60" s="36" t="s">
        <v>277</v>
      </c>
      <c r="C60" s="33"/>
      <c r="D60" s="34">
        <v>35640</v>
      </c>
      <c r="E60" s="35">
        <v>35640</v>
      </c>
      <c r="F60" s="35">
        <v>35640</v>
      </c>
      <c r="G60" s="35">
        <f>1788.9+1190+8149.12+7388.52+17085.01</f>
        <v>35601.55</v>
      </c>
      <c r="H60" s="35">
        <v>17085.01</v>
      </c>
      <c r="I60" s="43"/>
      <c r="J60" s="43"/>
      <c r="K60" s="3"/>
      <c r="IM60" s="3"/>
      <c r="IN60" s="3"/>
      <c r="IO60" s="3"/>
      <c r="IP60" s="3"/>
      <c r="IQ60" s="3"/>
      <c r="IR60" s="3"/>
      <c r="IS60" s="3"/>
      <c r="IT60" s="3"/>
      <c r="IU60" s="3"/>
      <c r="IV60" s="3"/>
    </row>
    <row r="61" spans="1:256" ht="16.5" customHeight="1">
      <c r="A61" s="25" t="s">
        <v>278</v>
      </c>
      <c r="B61" s="28" t="s">
        <v>279</v>
      </c>
      <c r="C61" s="29">
        <f aca="true" t="shared" si="23" ref="C61:H61">+C62+C63</f>
        <v>0</v>
      </c>
      <c r="D61" s="29">
        <f t="shared" si="23"/>
        <v>7900</v>
      </c>
      <c r="E61" s="29">
        <f t="shared" si="23"/>
        <v>7900</v>
      </c>
      <c r="F61" s="29">
        <f t="shared" si="23"/>
        <v>7900</v>
      </c>
      <c r="G61" s="29">
        <f t="shared" si="23"/>
        <v>5365.05</v>
      </c>
      <c r="H61" s="29">
        <f t="shared" si="23"/>
        <v>0</v>
      </c>
      <c r="I61" s="43"/>
      <c r="J61" s="43"/>
      <c r="IM61" s="3"/>
      <c r="IN61" s="3"/>
      <c r="IO61" s="3"/>
      <c r="IP61" s="3"/>
      <c r="IQ61" s="3"/>
      <c r="IR61" s="3"/>
      <c r="IS61" s="3"/>
      <c r="IT61" s="3"/>
      <c r="IU61" s="3"/>
      <c r="IV61" s="3"/>
    </row>
    <row r="62" spans="1:10" ht="16.5" customHeight="1">
      <c r="A62" s="25" t="s">
        <v>280</v>
      </c>
      <c r="B62" s="36" t="s">
        <v>281</v>
      </c>
      <c r="C62" s="33"/>
      <c r="D62" s="34">
        <v>7900</v>
      </c>
      <c r="E62" s="34">
        <v>7900</v>
      </c>
      <c r="F62" s="34">
        <v>7900</v>
      </c>
      <c r="G62" s="35">
        <f>871+1056.79+952.21+978.05+1507</f>
        <v>5365.05</v>
      </c>
      <c r="H62" s="35"/>
      <c r="I62" s="43"/>
      <c r="J62" s="43"/>
    </row>
    <row r="63" spans="1:256" ht="16.5" customHeight="1">
      <c r="A63" s="25" t="s">
        <v>282</v>
      </c>
      <c r="B63" s="36" t="s">
        <v>283</v>
      </c>
      <c r="C63" s="33"/>
      <c r="D63" s="34"/>
      <c r="E63" s="35"/>
      <c r="F63" s="35"/>
      <c r="G63" s="35"/>
      <c r="H63" s="35"/>
      <c r="I63" s="43"/>
      <c r="J63" s="43"/>
      <c r="IM63" s="3"/>
      <c r="IN63" s="3"/>
      <c r="IO63" s="3"/>
      <c r="IP63" s="3"/>
      <c r="IQ63" s="3"/>
      <c r="IR63" s="3"/>
      <c r="IS63" s="3"/>
      <c r="IT63" s="3"/>
      <c r="IU63" s="3"/>
      <c r="IV63" s="3"/>
    </row>
    <row r="64" spans="1:10" ht="16.5" customHeight="1">
      <c r="A64" s="31" t="s">
        <v>284</v>
      </c>
      <c r="B64" s="36" t="s">
        <v>285</v>
      </c>
      <c r="C64" s="33"/>
      <c r="D64" s="34">
        <v>1400</v>
      </c>
      <c r="E64" s="35">
        <v>1400</v>
      </c>
      <c r="F64" s="35">
        <v>1400</v>
      </c>
      <c r="G64" s="35">
        <f>1314</f>
        <v>1314</v>
      </c>
      <c r="H64" s="35">
        <v>1314</v>
      </c>
      <c r="I64" s="43"/>
      <c r="J64" s="43"/>
    </row>
    <row r="65" spans="1:10" ht="16.5" customHeight="1">
      <c r="A65" s="31" t="s">
        <v>286</v>
      </c>
      <c r="B65" s="32" t="s">
        <v>287</v>
      </c>
      <c r="C65" s="33"/>
      <c r="D65" s="34"/>
      <c r="E65" s="35"/>
      <c r="F65" s="35"/>
      <c r="G65" s="35"/>
      <c r="H65" s="35"/>
      <c r="I65" s="43"/>
      <c r="J65" s="43"/>
    </row>
    <row r="66" spans="1:256" s="3" customFormat="1" ht="16.5" customHeight="1">
      <c r="A66" s="31" t="s">
        <v>288</v>
      </c>
      <c r="B66" s="36" t="s">
        <v>289</v>
      </c>
      <c r="C66" s="33"/>
      <c r="D66" s="34"/>
      <c r="E66" s="34"/>
      <c r="F66" s="35"/>
      <c r="G66" s="35"/>
      <c r="H66" s="35"/>
      <c r="I66" s="43"/>
      <c r="J66" s="43"/>
      <c r="K66" s="8"/>
      <c r="IM66" s="8"/>
      <c r="IN66" s="8"/>
      <c r="IO66" s="8"/>
      <c r="IP66" s="8"/>
      <c r="IQ66" s="8"/>
      <c r="IR66" s="8"/>
      <c r="IS66" s="8"/>
      <c r="IT66" s="8"/>
      <c r="IU66" s="8"/>
      <c r="IV66" s="8"/>
    </row>
    <row r="67" spans="1:11" ht="16.5" customHeight="1">
      <c r="A67" s="31" t="s">
        <v>290</v>
      </c>
      <c r="B67" s="36" t="s">
        <v>291</v>
      </c>
      <c r="C67" s="33"/>
      <c r="D67" s="34">
        <v>1000</v>
      </c>
      <c r="E67" s="34">
        <v>1000</v>
      </c>
      <c r="F67" s="34">
        <v>1000</v>
      </c>
      <c r="G67" s="35">
        <v>1000</v>
      </c>
      <c r="H67" s="35">
        <v>1000</v>
      </c>
      <c r="I67" s="43"/>
      <c r="J67" s="43"/>
      <c r="K67" s="3"/>
    </row>
    <row r="68" spans="1:11" ht="30">
      <c r="A68" s="31"/>
      <c r="B68" s="36" t="s">
        <v>292</v>
      </c>
      <c r="C68" s="33"/>
      <c r="D68" s="34"/>
      <c r="E68" s="34"/>
      <c r="F68" s="35"/>
      <c r="G68" s="35"/>
      <c r="H68" s="35"/>
      <c r="I68" s="43"/>
      <c r="J68" s="43"/>
      <c r="K68" s="3"/>
    </row>
    <row r="69" spans="1:10" ht="16.5" customHeight="1">
      <c r="A69" s="25" t="s">
        <v>293</v>
      </c>
      <c r="B69" s="28" t="s">
        <v>294</v>
      </c>
      <c r="C69" s="42">
        <f aca="true" t="shared" si="24" ref="C69:H69">+C70+C71</f>
        <v>0</v>
      </c>
      <c r="D69" s="42">
        <f t="shared" si="24"/>
        <v>53920</v>
      </c>
      <c r="E69" s="42">
        <f t="shared" si="24"/>
        <v>53920</v>
      </c>
      <c r="F69" s="42">
        <f t="shared" si="24"/>
        <v>53920</v>
      </c>
      <c r="G69" s="42">
        <f t="shared" si="24"/>
        <v>53059.95</v>
      </c>
      <c r="H69" s="42">
        <f t="shared" si="24"/>
        <v>4897.26</v>
      </c>
      <c r="I69" s="43"/>
      <c r="J69" s="43"/>
    </row>
    <row r="70" spans="1:256" s="3" customFormat="1" ht="16.5" customHeight="1">
      <c r="A70" s="31" t="s">
        <v>295</v>
      </c>
      <c r="B70" s="36" t="s">
        <v>296</v>
      </c>
      <c r="C70" s="33"/>
      <c r="D70" s="34">
        <v>44920</v>
      </c>
      <c r="E70" s="34">
        <v>44920</v>
      </c>
      <c r="F70" s="34">
        <v>44920</v>
      </c>
      <c r="G70" s="35">
        <f>18398.55+3679.71+3679.71+3679.71+3679.71+3679.71+4049.39+4049.39</f>
        <v>44895.88</v>
      </c>
      <c r="H70" s="35">
        <v>4049.39</v>
      </c>
      <c r="I70" s="43"/>
      <c r="J70" s="43"/>
      <c r="K70" s="8"/>
      <c r="IM70" s="8"/>
      <c r="IN70" s="8"/>
      <c r="IO70" s="8"/>
      <c r="IP70" s="8"/>
      <c r="IQ70" s="8"/>
      <c r="IR70" s="8"/>
      <c r="IS70" s="8"/>
      <c r="IT70" s="8"/>
      <c r="IU70" s="8"/>
      <c r="IV70" s="8"/>
    </row>
    <row r="71" spans="1:10" s="3" customFormat="1" ht="16.5" customHeight="1">
      <c r="A71" s="31" t="s">
        <v>297</v>
      </c>
      <c r="B71" s="36" t="s">
        <v>298</v>
      </c>
      <c r="C71" s="33"/>
      <c r="D71" s="34">
        <v>9000</v>
      </c>
      <c r="E71" s="34">
        <v>9000</v>
      </c>
      <c r="F71" s="34">
        <v>9000</v>
      </c>
      <c r="G71" s="44">
        <f>3000+1960+2356.2+847.87</f>
        <v>8164.07</v>
      </c>
      <c r="H71" s="44">
        <v>847.87</v>
      </c>
      <c r="I71" s="43"/>
      <c r="J71" s="43"/>
    </row>
    <row r="72" spans="1:11" ht="16.5" customHeight="1">
      <c r="A72" s="25" t="s">
        <v>299</v>
      </c>
      <c r="B72" s="28" t="s">
        <v>199</v>
      </c>
      <c r="C72" s="27">
        <f>+C73</f>
        <v>0</v>
      </c>
      <c r="D72" s="27">
        <f aca="true" t="shared" si="25" ref="D72:H73">+D73</f>
        <v>0</v>
      </c>
      <c r="E72" s="27">
        <f t="shared" si="25"/>
        <v>0</v>
      </c>
      <c r="F72" s="27">
        <f t="shared" si="25"/>
        <v>0</v>
      </c>
      <c r="G72" s="27">
        <f t="shared" si="25"/>
        <v>0</v>
      </c>
      <c r="H72" s="27">
        <f t="shared" si="25"/>
        <v>0</v>
      </c>
      <c r="I72" s="43"/>
      <c r="J72" s="43"/>
      <c r="K72" s="3"/>
    </row>
    <row r="73" spans="1:256" s="3" customFormat="1" ht="16.5" customHeight="1">
      <c r="A73" s="45" t="s">
        <v>300</v>
      </c>
      <c r="B73" s="28" t="s">
        <v>301</v>
      </c>
      <c r="C73" s="27">
        <f>+C74</f>
        <v>0</v>
      </c>
      <c r="D73" s="27">
        <f t="shared" si="25"/>
        <v>0</v>
      </c>
      <c r="E73" s="27">
        <f t="shared" si="25"/>
        <v>0</v>
      </c>
      <c r="F73" s="27">
        <f t="shared" si="25"/>
        <v>0</v>
      </c>
      <c r="G73" s="27">
        <f t="shared" si="25"/>
        <v>0</v>
      </c>
      <c r="H73" s="27">
        <f t="shared" si="25"/>
        <v>0</v>
      </c>
      <c r="I73" s="43"/>
      <c r="J73" s="43"/>
      <c r="K73" s="8"/>
      <c r="IM73" s="8"/>
      <c r="IN73" s="8"/>
      <c r="IO73" s="8"/>
      <c r="IP73" s="8"/>
      <c r="IQ73" s="8"/>
      <c r="IR73" s="8"/>
      <c r="IS73" s="8"/>
      <c r="IT73" s="8"/>
      <c r="IU73" s="8"/>
      <c r="IV73" s="8"/>
    </row>
    <row r="74" spans="1:10" s="3" customFormat="1" ht="16.5" customHeight="1">
      <c r="A74" s="45" t="s">
        <v>302</v>
      </c>
      <c r="B74" s="36" t="s">
        <v>303</v>
      </c>
      <c r="C74" s="33"/>
      <c r="D74" s="34"/>
      <c r="E74" s="34"/>
      <c r="F74" s="34"/>
      <c r="G74" s="35"/>
      <c r="H74" s="35"/>
      <c r="I74" s="43"/>
      <c r="J74" s="43"/>
    </row>
    <row r="75" spans="1:10" s="3" customFormat="1" ht="16.5" customHeight="1">
      <c r="A75" s="45"/>
      <c r="B75" s="46" t="s">
        <v>205</v>
      </c>
      <c r="C75" s="33">
        <f aca="true" t="shared" si="26" ref="C75:H75">C76+C77</f>
        <v>0</v>
      </c>
      <c r="D75" s="33">
        <f t="shared" si="26"/>
        <v>0</v>
      </c>
      <c r="E75" s="33">
        <f t="shared" si="26"/>
        <v>0</v>
      </c>
      <c r="F75" s="33">
        <f t="shared" si="26"/>
        <v>0</v>
      </c>
      <c r="G75" s="33">
        <f t="shared" si="26"/>
        <v>0</v>
      </c>
      <c r="H75" s="33">
        <f t="shared" si="26"/>
        <v>0</v>
      </c>
      <c r="I75" s="43"/>
      <c r="J75" s="43"/>
    </row>
    <row r="76" spans="1:10" s="3" customFormat="1" ht="16.5" customHeight="1">
      <c r="A76" s="45"/>
      <c r="B76" s="47" t="s">
        <v>304</v>
      </c>
      <c r="C76" s="33"/>
      <c r="D76" s="34"/>
      <c r="E76" s="34"/>
      <c r="F76" s="34"/>
      <c r="G76" s="35"/>
      <c r="H76" s="35"/>
      <c r="I76" s="43"/>
      <c r="J76" s="43"/>
    </row>
    <row r="77" spans="1:256" s="3" customFormat="1" ht="16.5" customHeight="1">
      <c r="A77" s="45"/>
      <c r="B77" s="47" t="s">
        <v>305</v>
      </c>
      <c r="C77" s="33"/>
      <c r="D77" s="34"/>
      <c r="E77" s="34"/>
      <c r="F77" s="34"/>
      <c r="G77" s="35"/>
      <c r="H77" s="35"/>
      <c r="I77" s="43"/>
      <c r="J77" s="43"/>
      <c r="IM77" s="8"/>
      <c r="IN77" s="8"/>
      <c r="IO77" s="8"/>
      <c r="IP77" s="8"/>
      <c r="IQ77" s="8"/>
      <c r="IR77" s="8"/>
      <c r="IS77" s="8"/>
      <c r="IT77" s="8"/>
      <c r="IU77" s="8"/>
      <c r="IV77" s="8"/>
    </row>
    <row r="78" spans="1:10" s="3" customFormat="1" ht="16.5" customHeight="1">
      <c r="A78" s="25" t="s">
        <v>306</v>
      </c>
      <c r="B78" s="28" t="s">
        <v>207</v>
      </c>
      <c r="C78" s="29">
        <f aca="true" t="shared" si="27" ref="C78:H78">+C79</f>
        <v>0</v>
      </c>
      <c r="D78" s="29">
        <f t="shared" si="27"/>
        <v>88000</v>
      </c>
      <c r="E78" s="29">
        <f t="shared" si="27"/>
        <v>88000</v>
      </c>
      <c r="F78" s="29">
        <f t="shared" si="27"/>
        <v>88000</v>
      </c>
      <c r="G78" s="29">
        <f t="shared" si="27"/>
        <v>87798.2</v>
      </c>
      <c r="H78" s="29">
        <f t="shared" si="27"/>
        <v>87798.2</v>
      </c>
      <c r="I78" s="43"/>
      <c r="J78" s="43"/>
    </row>
    <row r="79" spans="1:10" s="3" customFormat="1" ht="16.5" customHeight="1">
      <c r="A79" s="25" t="s">
        <v>307</v>
      </c>
      <c r="B79" s="28" t="s">
        <v>209</v>
      </c>
      <c r="C79" s="29">
        <f aca="true" t="shared" si="28" ref="C79:H79">+C80+C85</f>
        <v>0</v>
      </c>
      <c r="D79" s="29">
        <f t="shared" si="28"/>
        <v>88000</v>
      </c>
      <c r="E79" s="29">
        <f t="shared" si="28"/>
        <v>88000</v>
      </c>
      <c r="F79" s="29">
        <f t="shared" si="28"/>
        <v>88000</v>
      </c>
      <c r="G79" s="29">
        <f t="shared" si="28"/>
        <v>87798.2</v>
      </c>
      <c r="H79" s="29">
        <f t="shared" si="28"/>
        <v>87798.2</v>
      </c>
      <c r="I79" s="43"/>
      <c r="J79" s="43"/>
    </row>
    <row r="80" spans="1:256" ht="16.5" customHeight="1">
      <c r="A80" s="25" t="s">
        <v>308</v>
      </c>
      <c r="B80" s="28" t="s">
        <v>309</v>
      </c>
      <c r="C80" s="29">
        <f aca="true" t="shared" si="29" ref="C80:H80">+C82+C84+C83+C81</f>
        <v>0</v>
      </c>
      <c r="D80" s="29">
        <f t="shared" si="29"/>
        <v>88000</v>
      </c>
      <c r="E80" s="29">
        <f t="shared" si="29"/>
        <v>88000</v>
      </c>
      <c r="F80" s="29">
        <f t="shared" si="29"/>
        <v>88000</v>
      </c>
      <c r="G80" s="29">
        <f t="shared" si="29"/>
        <v>87798.2</v>
      </c>
      <c r="H80" s="29">
        <f t="shared" si="29"/>
        <v>87798.2</v>
      </c>
      <c r="I80" s="43"/>
      <c r="J80" s="43"/>
      <c r="K80" s="3"/>
      <c r="IM80" s="3"/>
      <c r="IN80" s="3"/>
      <c r="IO80" s="3"/>
      <c r="IP80" s="3"/>
      <c r="IQ80" s="3"/>
      <c r="IR80" s="3"/>
      <c r="IS80" s="3"/>
      <c r="IT80" s="3"/>
      <c r="IU80" s="3"/>
      <c r="IV80" s="3"/>
    </row>
    <row r="81" spans="1:256" ht="16.5" customHeight="1">
      <c r="A81" s="25"/>
      <c r="B81" s="32" t="s">
        <v>310</v>
      </c>
      <c r="C81" s="29"/>
      <c r="D81" s="34"/>
      <c r="E81" s="34"/>
      <c r="F81" s="34"/>
      <c r="G81" s="35"/>
      <c r="H81" s="35"/>
      <c r="I81" s="43"/>
      <c r="J81" s="43"/>
      <c r="IM81" s="3"/>
      <c r="IN81" s="3"/>
      <c r="IO81" s="3"/>
      <c r="IP81" s="3"/>
      <c r="IQ81" s="3"/>
      <c r="IR81" s="3"/>
      <c r="IS81" s="3"/>
      <c r="IT81" s="3"/>
      <c r="IU81" s="3"/>
      <c r="IV81" s="3"/>
    </row>
    <row r="82" spans="1:256" ht="16.5" customHeight="1">
      <c r="A82" s="31" t="s">
        <v>311</v>
      </c>
      <c r="B82" s="36" t="s">
        <v>312</v>
      </c>
      <c r="C82" s="33"/>
      <c r="D82" s="34">
        <v>88000</v>
      </c>
      <c r="E82" s="34">
        <v>88000</v>
      </c>
      <c r="F82" s="34">
        <v>88000</v>
      </c>
      <c r="G82" s="35">
        <f>87798.2</f>
        <v>87798.2</v>
      </c>
      <c r="H82" s="35">
        <v>87798.2</v>
      </c>
      <c r="I82" s="43"/>
      <c r="J82" s="43"/>
      <c r="IM82" s="3"/>
      <c r="IN82" s="3"/>
      <c r="IO82" s="3"/>
      <c r="IP82" s="3"/>
      <c r="IQ82" s="3"/>
      <c r="IR82" s="3"/>
      <c r="IS82" s="3"/>
      <c r="IT82" s="3"/>
      <c r="IU82" s="3"/>
      <c r="IV82" s="3"/>
    </row>
    <row r="83" spans="1:256" ht="16.5" customHeight="1">
      <c r="A83" s="31" t="s">
        <v>313</v>
      </c>
      <c r="B83" s="32" t="s">
        <v>314</v>
      </c>
      <c r="C83" s="33"/>
      <c r="D83" s="34"/>
      <c r="E83" s="34"/>
      <c r="F83" s="34"/>
      <c r="G83" s="35"/>
      <c r="H83" s="35"/>
      <c r="I83" s="43"/>
      <c r="J83" s="43"/>
      <c r="IM83" s="3"/>
      <c r="IN83" s="3"/>
      <c r="IO83" s="3"/>
      <c r="IP83" s="3"/>
      <c r="IQ83" s="3"/>
      <c r="IR83" s="3"/>
      <c r="IS83" s="3"/>
      <c r="IT83" s="3"/>
      <c r="IU83" s="3"/>
      <c r="IV83" s="3"/>
    </row>
    <row r="84" spans="1:10" ht="16.5" customHeight="1">
      <c r="A84" s="31" t="s">
        <v>315</v>
      </c>
      <c r="B84" s="36" t="s">
        <v>316</v>
      </c>
      <c r="C84" s="33"/>
      <c r="D84" s="34"/>
      <c r="E84" s="34"/>
      <c r="F84" s="34"/>
      <c r="G84" s="35"/>
      <c r="H84" s="35"/>
      <c r="I84" s="43"/>
      <c r="J84" s="43"/>
    </row>
    <row r="85" spans="1:10" ht="16.5" customHeight="1">
      <c r="A85" s="48"/>
      <c r="B85" s="32" t="s">
        <v>317</v>
      </c>
      <c r="C85" s="33"/>
      <c r="D85" s="34"/>
      <c r="E85" s="34"/>
      <c r="F85" s="34"/>
      <c r="G85" s="35"/>
      <c r="H85" s="35"/>
      <c r="I85" s="43"/>
      <c r="J85" s="43"/>
    </row>
    <row r="86" spans="1:256" s="4" customFormat="1" ht="16.5" customHeight="1">
      <c r="A86" s="31" t="s">
        <v>216</v>
      </c>
      <c r="B86" s="36" t="s">
        <v>318</v>
      </c>
      <c r="C86" s="33"/>
      <c r="D86" s="34"/>
      <c r="E86" s="34"/>
      <c r="F86" s="34"/>
      <c r="G86" s="35"/>
      <c r="H86" s="35"/>
      <c r="I86" s="43"/>
      <c r="J86" s="43"/>
      <c r="K86" s="8"/>
      <c r="IM86" s="8"/>
      <c r="IN86" s="8"/>
      <c r="IO86" s="8"/>
      <c r="IP86" s="8"/>
      <c r="IQ86" s="8"/>
      <c r="IR86" s="8"/>
      <c r="IS86" s="8"/>
      <c r="IT86" s="8"/>
      <c r="IU86" s="8"/>
      <c r="IV86" s="8"/>
    </row>
    <row r="87" spans="1:256" s="4" customFormat="1" ht="16.5" customHeight="1">
      <c r="A87" s="31" t="s">
        <v>319</v>
      </c>
      <c r="B87" s="36" t="s">
        <v>320</v>
      </c>
      <c r="C87" s="27">
        <f aca="true" t="shared" si="30" ref="C87:H87">+C44-C89+C23+C78+C172+C75</f>
        <v>0</v>
      </c>
      <c r="D87" s="27">
        <f t="shared" si="30"/>
        <v>93528510</v>
      </c>
      <c r="E87" s="27">
        <f t="shared" si="30"/>
        <v>93528510</v>
      </c>
      <c r="F87" s="27">
        <f t="shared" si="30"/>
        <v>93528510</v>
      </c>
      <c r="G87" s="27">
        <f t="shared" si="30"/>
        <v>93517476.2</v>
      </c>
      <c r="H87" s="27">
        <f t="shared" si="30"/>
        <v>8444738.650000002</v>
      </c>
      <c r="I87" s="43"/>
      <c r="J87" s="43"/>
      <c r="IM87" s="8"/>
      <c r="IN87" s="8"/>
      <c r="IO87" s="8"/>
      <c r="IP87" s="8"/>
      <c r="IQ87" s="8"/>
      <c r="IR87" s="8"/>
      <c r="IS87" s="8"/>
      <c r="IT87" s="8"/>
      <c r="IU87" s="8"/>
      <c r="IV87" s="8"/>
    </row>
    <row r="88" spans="1:256" s="4" customFormat="1" ht="16.5" customHeight="1">
      <c r="A88" s="31"/>
      <c r="B88" s="36" t="s">
        <v>321</v>
      </c>
      <c r="C88" s="27"/>
      <c r="D88" s="34"/>
      <c r="E88" s="34"/>
      <c r="F88" s="34"/>
      <c r="G88" s="34"/>
      <c r="H88" s="34"/>
      <c r="I88" s="43"/>
      <c r="J88" s="43"/>
      <c r="IM88" s="8"/>
      <c r="IN88" s="8"/>
      <c r="IO88" s="8"/>
      <c r="IP88" s="8"/>
      <c r="IQ88" s="8"/>
      <c r="IR88" s="8"/>
      <c r="IS88" s="8"/>
      <c r="IT88" s="8"/>
      <c r="IU88" s="8"/>
      <c r="IV88" s="8"/>
    </row>
    <row r="89" spans="1:256" s="4" customFormat="1" ht="16.5" customHeight="1">
      <c r="A89" s="31"/>
      <c r="B89" s="28" t="s">
        <v>322</v>
      </c>
      <c r="C89" s="49">
        <f aca="true" t="shared" si="31" ref="C89:H89">+C90+C131+C154+C156+C167+C169</f>
        <v>0</v>
      </c>
      <c r="D89" s="27">
        <f t="shared" si="31"/>
        <v>223670600</v>
      </c>
      <c r="E89" s="27">
        <f t="shared" si="31"/>
        <v>226062600</v>
      </c>
      <c r="F89" s="27">
        <f t="shared" si="31"/>
        <v>226062600</v>
      </c>
      <c r="G89" s="27">
        <f t="shared" si="31"/>
        <v>226036649.02</v>
      </c>
      <c r="H89" s="27">
        <f t="shared" si="31"/>
        <v>17976872.509999998</v>
      </c>
      <c r="I89" s="43"/>
      <c r="J89" s="43"/>
      <c r="IM89" s="8"/>
      <c r="IN89" s="8"/>
      <c r="IO89" s="8"/>
      <c r="IP89" s="8"/>
      <c r="IQ89" s="8"/>
      <c r="IR89" s="8"/>
      <c r="IS89" s="8"/>
      <c r="IT89" s="8"/>
      <c r="IU89" s="8"/>
      <c r="IV89" s="8"/>
    </row>
    <row r="90" spans="1:10" s="4" customFormat="1" ht="16.5" customHeight="1">
      <c r="A90" s="25" t="s">
        <v>323</v>
      </c>
      <c r="B90" s="28" t="s">
        <v>324</v>
      </c>
      <c r="C90" s="29">
        <f aca="true" t="shared" si="32" ref="C90:H90">+C91+C98+C111+C127+C129</f>
        <v>0</v>
      </c>
      <c r="D90" s="29">
        <f t="shared" si="32"/>
        <v>92328700</v>
      </c>
      <c r="E90" s="29">
        <f t="shared" si="32"/>
        <v>96135070</v>
      </c>
      <c r="F90" s="29">
        <f t="shared" si="32"/>
        <v>96135070</v>
      </c>
      <c r="G90" s="29">
        <f t="shared" si="32"/>
        <v>96128919.24000001</v>
      </c>
      <c r="H90" s="29">
        <f t="shared" si="32"/>
        <v>7424407.09</v>
      </c>
      <c r="I90" s="43"/>
      <c r="J90" s="43"/>
    </row>
    <row r="91" spans="1:10" s="4" customFormat="1" ht="16.5" customHeight="1">
      <c r="A91" s="31" t="s">
        <v>325</v>
      </c>
      <c r="B91" s="28" t="s">
        <v>326</v>
      </c>
      <c r="C91" s="27">
        <f aca="true" t="shared" si="33" ref="C91:H91">+C92+C95+C96+C93+C94</f>
        <v>0</v>
      </c>
      <c r="D91" s="27">
        <f t="shared" si="33"/>
        <v>52206720</v>
      </c>
      <c r="E91" s="27">
        <f t="shared" si="33"/>
        <v>56274920</v>
      </c>
      <c r="F91" s="27">
        <f t="shared" si="33"/>
        <v>56274920</v>
      </c>
      <c r="G91" s="27">
        <f t="shared" si="33"/>
        <v>56271919.85000001</v>
      </c>
      <c r="H91" s="27">
        <f t="shared" si="33"/>
        <v>4084590.45</v>
      </c>
      <c r="I91" s="43"/>
      <c r="J91" s="43"/>
    </row>
    <row r="92" spans="1:10" s="4" customFormat="1" ht="16.5" customHeight="1">
      <c r="A92" s="31"/>
      <c r="B92" s="32" t="s">
        <v>327</v>
      </c>
      <c r="C92" s="33"/>
      <c r="D92" s="34">
        <v>50135000</v>
      </c>
      <c r="E92" s="34">
        <v>54213920</v>
      </c>
      <c r="F92" s="34">
        <v>54213920</v>
      </c>
      <c r="G92" s="35">
        <f>21294422.04+4092107.96+4243103.46+4300000.91+4152595.63+6785428.43+1490051.57+3981627.05+3874582.95</f>
        <v>54213920.00000001</v>
      </c>
      <c r="H92" s="35">
        <v>3874582.95</v>
      </c>
      <c r="I92" s="43"/>
      <c r="J92" s="43"/>
    </row>
    <row r="93" spans="1:10" s="4" customFormat="1" ht="16.5" customHeight="1">
      <c r="A93" s="31"/>
      <c r="B93" s="32" t="s">
        <v>328</v>
      </c>
      <c r="C93" s="33"/>
      <c r="D93" s="34"/>
      <c r="E93" s="34"/>
      <c r="F93" s="35"/>
      <c r="G93" s="35"/>
      <c r="H93" s="35"/>
      <c r="I93" s="43"/>
      <c r="J93" s="43"/>
    </row>
    <row r="94" spans="1:256" ht="16.5" customHeight="1">
      <c r="A94" s="31"/>
      <c r="B94" s="32" t="s">
        <v>329</v>
      </c>
      <c r="C94" s="33"/>
      <c r="D94" s="34">
        <v>378720</v>
      </c>
      <c r="E94" s="34">
        <v>392370</v>
      </c>
      <c r="F94" s="34">
        <v>392370</v>
      </c>
      <c r="G94" s="35">
        <f>100840+62160+29410+11080+33340+30060+29410+31040+65030</f>
        <v>392370</v>
      </c>
      <c r="H94" s="35">
        <v>65030</v>
      </c>
      <c r="I94" s="43"/>
      <c r="J94" s="43"/>
      <c r="K94" s="4"/>
      <c r="IM94" s="4"/>
      <c r="IN94" s="4"/>
      <c r="IO94" s="4"/>
      <c r="IP94" s="4"/>
      <c r="IQ94" s="4"/>
      <c r="IR94" s="4"/>
      <c r="IS94" s="4"/>
      <c r="IT94" s="4"/>
      <c r="IU94" s="4"/>
      <c r="IV94" s="4"/>
    </row>
    <row r="95" spans="1:256" ht="16.5" customHeight="1">
      <c r="A95" s="31"/>
      <c r="B95" s="32" t="s">
        <v>330</v>
      </c>
      <c r="C95" s="33"/>
      <c r="D95" s="34">
        <v>52000</v>
      </c>
      <c r="E95" s="34">
        <v>52000</v>
      </c>
      <c r="F95" s="34">
        <v>52000</v>
      </c>
      <c r="G95" s="35">
        <f>9000+10000+4000+4000+4000+4000+5000+6000+3000</f>
        <v>49000</v>
      </c>
      <c r="H95" s="35">
        <v>3000</v>
      </c>
      <c r="I95" s="43"/>
      <c r="J95" s="43"/>
      <c r="IM95" s="4"/>
      <c r="IN95" s="4"/>
      <c r="IO95" s="4"/>
      <c r="IP95" s="4"/>
      <c r="IQ95" s="4"/>
      <c r="IR95" s="4"/>
      <c r="IS95" s="4"/>
      <c r="IT95" s="4"/>
      <c r="IU95" s="4"/>
      <c r="IV95" s="4"/>
    </row>
    <row r="96" spans="1:256" ht="16.5" customHeight="1">
      <c r="A96" s="31"/>
      <c r="B96" s="32" t="s">
        <v>331</v>
      </c>
      <c r="C96" s="33"/>
      <c r="D96" s="34">
        <v>1641000</v>
      </c>
      <c r="E96" s="34">
        <v>1616630</v>
      </c>
      <c r="F96" s="34">
        <v>1616630</v>
      </c>
      <c r="G96" s="35">
        <f>395192.84+270805.68+126931.56+145644.18+127325.74+273690+135062.35+141977.5</f>
        <v>1616629.85</v>
      </c>
      <c r="H96" s="35">
        <v>141977.5</v>
      </c>
      <c r="I96" s="43"/>
      <c r="J96" s="43"/>
      <c r="IM96" s="4"/>
      <c r="IN96" s="4"/>
      <c r="IO96" s="4"/>
      <c r="IP96" s="4"/>
      <c r="IQ96" s="4"/>
      <c r="IR96" s="4"/>
      <c r="IS96" s="4"/>
      <c r="IT96" s="4"/>
      <c r="IU96" s="4"/>
      <c r="IV96" s="4"/>
    </row>
    <row r="97" spans="1:10" ht="15">
      <c r="A97" s="31"/>
      <c r="B97" s="36" t="s">
        <v>321</v>
      </c>
      <c r="C97" s="33"/>
      <c r="D97" s="34"/>
      <c r="E97" s="34"/>
      <c r="F97" s="35"/>
      <c r="G97" s="35">
        <f>-2246.42-120.36-274.65-2426.3-339.61-171.28-252.1-324.05</f>
        <v>-6154.77</v>
      </c>
      <c r="H97" s="35">
        <v>-324.05</v>
      </c>
      <c r="I97" s="43"/>
      <c r="J97" s="43"/>
    </row>
    <row r="98" spans="1:256" s="3" customFormat="1" ht="30">
      <c r="A98" s="31" t="s">
        <v>332</v>
      </c>
      <c r="B98" s="28" t="s">
        <v>333</v>
      </c>
      <c r="C98" s="33">
        <f aca="true" t="shared" si="34" ref="C98:H98">C99+C100+C101+C102+C103+C104+C106+C105+C107</f>
        <v>0</v>
      </c>
      <c r="D98" s="50">
        <f t="shared" si="34"/>
        <v>26663940</v>
      </c>
      <c r="E98" s="50">
        <f t="shared" si="34"/>
        <v>26330880</v>
      </c>
      <c r="F98" s="33">
        <f t="shared" si="34"/>
        <v>26330880</v>
      </c>
      <c r="G98" s="33">
        <f t="shared" si="34"/>
        <v>26328717.89</v>
      </c>
      <c r="H98" s="33">
        <f t="shared" si="34"/>
        <v>2085780.6400000001</v>
      </c>
      <c r="I98" s="43"/>
      <c r="J98" s="43"/>
      <c r="K98" s="8"/>
      <c r="IM98" s="8"/>
      <c r="IN98" s="8"/>
      <c r="IO98" s="8"/>
      <c r="IP98" s="8"/>
      <c r="IQ98" s="8"/>
      <c r="IR98" s="8"/>
      <c r="IS98" s="8"/>
      <c r="IT98" s="8"/>
      <c r="IU98" s="8"/>
      <c r="IV98" s="8"/>
    </row>
    <row r="99" spans="1:11" ht="16.5" customHeight="1">
      <c r="A99" s="31"/>
      <c r="B99" s="51" t="s">
        <v>334</v>
      </c>
      <c r="C99" s="33"/>
      <c r="D99" s="52">
        <v>362160</v>
      </c>
      <c r="E99" s="52">
        <v>392790</v>
      </c>
      <c r="F99" s="52">
        <v>392790</v>
      </c>
      <c r="G99" s="35">
        <f>155900+36830+47950+24820+24830+19470+28870+30310+23510</f>
        <v>392490</v>
      </c>
      <c r="H99" s="35">
        <v>23510</v>
      </c>
      <c r="I99" s="43"/>
      <c r="J99" s="43"/>
      <c r="K99" s="3"/>
    </row>
    <row r="100" spans="1:10" ht="15">
      <c r="A100" s="31"/>
      <c r="B100" s="32" t="s">
        <v>335</v>
      </c>
      <c r="C100" s="33"/>
      <c r="D100" s="52"/>
      <c r="E100" s="52"/>
      <c r="F100" s="52"/>
      <c r="G100" s="35"/>
      <c r="H100" s="35"/>
      <c r="I100" s="43"/>
      <c r="J100" s="43"/>
    </row>
    <row r="101" spans="1:256" ht="16.5" customHeight="1">
      <c r="A101" s="31"/>
      <c r="B101" s="32" t="s">
        <v>336</v>
      </c>
      <c r="C101" s="33"/>
      <c r="D101" s="52">
        <v>544780</v>
      </c>
      <c r="E101" s="52">
        <v>617980</v>
      </c>
      <c r="F101" s="52">
        <v>617980</v>
      </c>
      <c r="G101" s="35">
        <f>301973.66+20401.53+204015.3+4201.95+10562.1+8403.9+68041.56</f>
        <v>617600</v>
      </c>
      <c r="H101" s="35">
        <v>68041.56</v>
      </c>
      <c r="I101" s="43"/>
      <c r="J101" s="43"/>
      <c r="IM101" s="3"/>
      <c r="IN101" s="3"/>
      <c r="IO101" s="3"/>
      <c r="IP101" s="3"/>
      <c r="IQ101" s="3"/>
      <c r="IR101" s="3"/>
      <c r="IS101" s="3"/>
      <c r="IT101" s="3"/>
      <c r="IU101" s="3"/>
      <c r="IV101" s="3"/>
    </row>
    <row r="102" spans="1:10" ht="16.5" customHeight="1">
      <c r="A102" s="31"/>
      <c r="B102" s="32" t="s">
        <v>337</v>
      </c>
      <c r="C102" s="33"/>
      <c r="D102" s="52">
        <v>14058300</v>
      </c>
      <c r="E102" s="52">
        <v>15046870</v>
      </c>
      <c r="F102" s="52">
        <v>15046870</v>
      </c>
      <c r="G102" s="35">
        <f>5983930+1043631.71+1018948.29+1205200+1170060+891740+1433400+1128570.92+1171389.08</f>
        <v>15046870</v>
      </c>
      <c r="H102" s="35">
        <v>1171389.08</v>
      </c>
      <c r="I102" s="43"/>
      <c r="J102" s="43"/>
    </row>
    <row r="103" spans="1:10" ht="15">
      <c r="A103" s="31"/>
      <c r="B103" s="53" t="s">
        <v>338</v>
      </c>
      <c r="C103" s="33"/>
      <c r="D103" s="52">
        <v>7530</v>
      </c>
      <c r="E103" s="52">
        <v>8560</v>
      </c>
      <c r="F103" s="52">
        <v>8560</v>
      </c>
      <c r="G103" s="35">
        <f>2556.57+1047.47+1947.18+977.08+1479.6</f>
        <v>8007.9</v>
      </c>
      <c r="H103" s="35"/>
      <c r="I103" s="43"/>
      <c r="J103" s="43"/>
    </row>
    <row r="104" spans="1:10" ht="30">
      <c r="A104" s="31"/>
      <c r="B104" s="32" t="s">
        <v>339</v>
      </c>
      <c r="C104" s="33"/>
      <c r="D104" s="52">
        <v>370410</v>
      </c>
      <c r="E104" s="52">
        <v>365720</v>
      </c>
      <c r="F104" s="52">
        <v>365720</v>
      </c>
      <c r="G104" s="35">
        <f>122666.93+31967.14+31829.34+27377.53+31784.99+21371.51+44792.56+23980+29570</f>
        <v>365340</v>
      </c>
      <c r="H104" s="35">
        <v>29570</v>
      </c>
      <c r="I104" s="43"/>
      <c r="J104" s="43"/>
    </row>
    <row r="105" spans="1:10" ht="16.5" customHeight="1">
      <c r="A105" s="31"/>
      <c r="B105" s="54" t="s">
        <v>340</v>
      </c>
      <c r="C105" s="33"/>
      <c r="D105" s="52"/>
      <c r="E105" s="52"/>
      <c r="F105" s="52"/>
      <c r="G105" s="35"/>
      <c r="H105" s="35"/>
      <c r="I105" s="43"/>
      <c r="J105" s="43"/>
    </row>
    <row r="106" spans="1:10" ht="15">
      <c r="A106" s="31"/>
      <c r="B106" s="54" t="s">
        <v>341</v>
      </c>
      <c r="C106" s="33"/>
      <c r="D106" s="52">
        <v>8603370</v>
      </c>
      <c r="E106" s="52">
        <v>8190480</v>
      </c>
      <c r="F106" s="52">
        <v>8190480</v>
      </c>
      <c r="G106" s="55">
        <f>2239110+506650+384500+613686.76+644563.24+788929.99+92930.01+1331736.21+794773.79+793270</f>
        <v>8190150</v>
      </c>
      <c r="H106" s="55">
        <v>793270</v>
      </c>
      <c r="I106" s="43"/>
      <c r="J106" s="43"/>
    </row>
    <row r="107" spans="1:10" ht="16.5" customHeight="1">
      <c r="A107" s="31"/>
      <c r="B107" s="56" t="s">
        <v>342</v>
      </c>
      <c r="C107" s="33">
        <f aca="true" t="shared" si="35" ref="C107:H107">C108+C109</f>
        <v>0</v>
      </c>
      <c r="D107" s="50">
        <f t="shared" si="35"/>
        <v>2717390</v>
      </c>
      <c r="E107" s="50">
        <f t="shared" si="35"/>
        <v>1708480</v>
      </c>
      <c r="F107" s="33">
        <f t="shared" si="35"/>
        <v>1708480</v>
      </c>
      <c r="G107" s="33">
        <f t="shared" si="35"/>
        <v>1708259.9900000002</v>
      </c>
      <c r="H107" s="33">
        <f t="shared" si="35"/>
        <v>0</v>
      </c>
      <c r="I107" s="43"/>
      <c r="J107" s="43"/>
    </row>
    <row r="108" spans="1:10" ht="16.5" customHeight="1">
      <c r="A108" s="31"/>
      <c r="B108" s="54" t="s">
        <v>343</v>
      </c>
      <c r="C108" s="33"/>
      <c r="D108" s="52">
        <v>2717390</v>
      </c>
      <c r="E108" s="52">
        <v>1708480</v>
      </c>
      <c r="F108" s="34">
        <v>1708480</v>
      </c>
      <c r="G108" s="35">
        <f>580454.47+121828.24+139787.29+167033.88+192166.11+374609.38+132380.62</f>
        <v>1708259.9900000002</v>
      </c>
      <c r="H108" s="35"/>
      <c r="I108" s="43"/>
      <c r="J108" s="43"/>
    </row>
    <row r="109" spans="1:10" ht="15">
      <c r="A109" s="31"/>
      <c r="B109" s="54" t="s">
        <v>344</v>
      </c>
      <c r="C109" s="33"/>
      <c r="D109" s="52"/>
      <c r="E109" s="52"/>
      <c r="F109" s="35"/>
      <c r="G109" s="35"/>
      <c r="H109" s="35"/>
      <c r="I109" s="43"/>
      <c r="J109" s="43"/>
    </row>
    <row r="110" spans="1:10" ht="15">
      <c r="A110" s="31"/>
      <c r="B110" s="36" t="s">
        <v>321</v>
      </c>
      <c r="C110" s="33"/>
      <c r="D110" s="52"/>
      <c r="E110" s="52"/>
      <c r="F110" s="35"/>
      <c r="G110" s="35">
        <v>-277.34</v>
      </c>
      <c r="H110" s="35"/>
      <c r="I110" s="43"/>
      <c r="J110" s="43"/>
    </row>
    <row r="111" spans="1:10" ht="30">
      <c r="A111" s="25" t="s">
        <v>345</v>
      </c>
      <c r="B111" s="28" t="s">
        <v>346</v>
      </c>
      <c r="C111" s="33">
        <f aca="true" t="shared" si="36" ref="C111:H111">C112+C113+C114+C115+C116+C117+C118+C119+C120+C121</f>
        <v>0</v>
      </c>
      <c r="D111" s="50">
        <f t="shared" si="36"/>
        <v>1559600</v>
      </c>
      <c r="E111" s="50">
        <f t="shared" si="36"/>
        <v>1558770</v>
      </c>
      <c r="F111" s="33">
        <f t="shared" si="36"/>
        <v>1558770</v>
      </c>
      <c r="G111" s="33">
        <f t="shared" si="36"/>
        <v>1557786.5</v>
      </c>
      <c r="H111" s="33">
        <f t="shared" si="36"/>
        <v>119190</v>
      </c>
      <c r="I111" s="43"/>
      <c r="J111" s="43"/>
    </row>
    <row r="112" spans="1:10" ht="15">
      <c r="A112" s="31"/>
      <c r="B112" s="32" t="s">
        <v>337</v>
      </c>
      <c r="C112" s="33"/>
      <c r="D112" s="52">
        <v>1340500</v>
      </c>
      <c r="E112" s="52">
        <v>1331860</v>
      </c>
      <c r="F112" s="34">
        <v>1331860</v>
      </c>
      <c r="G112" s="35">
        <f>438180+101270+97410+134780+106210+86000+152440+97560+117210</f>
        <v>1331060</v>
      </c>
      <c r="H112" s="35">
        <v>117210</v>
      </c>
      <c r="I112" s="43"/>
      <c r="J112" s="43"/>
    </row>
    <row r="113" spans="1:10" ht="30">
      <c r="A113" s="31"/>
      <c r="B113" s="57" t="s">
        <v>347</v>
      </c>
      <c r="C113" s="33"/>
      <c r="D113" s="52">
        <v>29000</v>
      </c>
      <c r="E113" s="52">
        <v>25040</v>
      </c>
      <c r="F113" s="34">
        <v>25040</v>
      </c>
      <c r="G113" s="35">
        <f>9033.53+6.47+2020+6000+1970+4030+1980</f>
        <v>25040</v>
      </c>
      <c r="H113" s="35">
        <v>1980</v>
      </c>
      <c r="I113" s="43"/>
      <c r="J113" s="43"/>
    </row>
    <row r="114" spans="1:10" ht="16.5" customHeight="1">
      <c r="A114" s="31"/>
      <c r="B114" s="58" t="s">
        <v>348</v>
      </c>
      <c r="C114" s="33"/>
      <c r="D114" s="52">
        <v>190100</v>
      </c>
      <c r="E114" s="52">
        <v>201870</v>
      </c>
      <c r="F114" s="34">
        <v>201870</v>
      </c>
      <c r="G114" s="35">
        <f>65710+16930+17200+29328.8+72517.7</f>
        <v>201686.5</v>
      </c>
      <c r="H114" s="35"/>
      <c r="I114" s="43"/>
      <c r="J114" s="43"/>
    </row>
    <row r="115" spans="1:10" ht="30">
      <c r="A115" s="31"/>
      <c r="B115" s="58" t="s">
        <v>349</v>
      </c>
      <c r="C115" s="33"/>
      <c r="D115" s="52"/>
      <c r="E115" s="59"/>
      <c r="F115" s="35"/>
      <c r="G115" s="35"/>
      <c r="H115" s="35"/>
      <c r="I115" s="43"/>
      <c r="J115" s="43"/>
    </row>
    <row r="116" spans="1:10" ht="16.5" customHeight="1">
      <c r="A116" s="31"/>
      <c r="B116" s="58" t="s">
        <v>350</v>
      </c>
      <c r="C116" s="33"/>
      <c r="D116" s="52"/>
      <c r="E116" s="52"/>
      <c r="F116" s="35"/>
      <c r="G116" s="35"/>
      <c r="H116" s="35"/>
      <c r="I116" s="43"/>
      <c r="J116" s="43"/>
    </row>
    <row r="117" spans="1:256" s="3" customFormat="1" ht="16.5" customHeight="1">
      <c r="A117" s="31"/>
      <c r="B117" s="32" t="s">
        <v>334</v>
      </c>
      <c r="C117" s="33"/>
      <c r="D117" s="52"/>
      <c r="E117" s="52"/>
      <c r="F117" s="35"/>
      <c r="G117" s="35"/>
      <c r="H117" s="35"/>
      <c r="I117" s="43"/>
      <c r="J117" s="43"/>
      <c r="K117" s="8"/>
      <c r="IM117" s="8"/>
      <c r="IN117" s="8"/>
      <c r="IO117" s="8"/>
      <c r="IP117" s="8"/>
      <c r="IQ117" s="8"/>
      <c r="IR117" s="8"/>
      <c r="IS117" s="8"/>
      <c r="IT117" s="8"/>
      <c r="IU117" s="8"/>
      <c r="IV117" s="8"/>
    </row>
    <row r="118" spans="1:256" s="3" customFormat="1" ht="16.5" customHeight="1">
      <c r="A118" s="31"/>
      <c r="B118" s="58" t="s">
        <v>351</v>
      </c>
      <c r="C118" s="33"/>
      <c r="D118" s="52"/>
      <c r="E118" s="52"/>
      <c r="F118" s="60"/>
      <c r="G118" s="60"/>
      <c r="H118" s="60"/>
      <c r="I118" s="43"/>
      <c r="J118" s="43"/>
      <c r="IM118" s="8"/>
      <c r="IN118" s="8"/>
      <c r="IO118" s="8"/>
      <c r="IP118" s="8"/>
      <c r="IQ118" s="8"/>
      <c r="IR118" s="8"/>
      <c r="IS118" s="8"/>
      <c r="IT118" s="8"/>
      <c r="IU118" s="8"/>
      <c r="IV118" s="8"/>
    </row>
    <row r="119" spans="1:256" s="3" customFormat="1" ht="15">
      <c r="A119" s="31"/>
      <c r="B119" s="61" t="s">
        <v>352</v>
      </c>
      <c r="C119" s="33"/>
      <c r="D119" s="52"/>
      <c r="E119" s="52"/>
      <c r="F119" s="60"/>
      <c r="G119" s="60"/>
      <c r="H119" s="60"/>
      <c r="I119" s="43"/>
      <c r="J119" s="43"/>
      <c r="IM119" s="8"/>
      <c r="IN119" s="8"/>
      <c r="IO119" s="8"/>
      <c r="IP119" s="8"/>
      <c r="IQ119" s="8"/>
      <c r="IR119" s="8"/>
      <c r="IS119" s="8"/>
      <c r="IT119" s="8"/>
      <c r="IU119" s="8"/>
      <c r="IV119" s="8"/>
    </row>
    <row r="120" spans="1:10" s="3" customFormat="1" ht="30">
      <c r="A120" s="31"/>
      <c r="B120" s="61" t="s">
        <v>353</v>
      </c>
      <c r="C120" s="33"/>
      <c r="D120" s="52"/>
      <c r="E120" s="52"/>
      <c r="F120" s="60"/>
      <c r="G120" s="60"/>
      <c r="H120" s="60"/>
      <c r="I120" s="43"/>
      <c r="J120" s="43"/>
    </row>
    <row r="121" spans="1:10" s="3" customFormat="1" ht="30">
      <c r="A121" s="31"/>
      <c r="B121" s="62" t="s">
        <v>354</v>
      </c>
      <c r="C121" s="33">
        <f aca="true" t="shared" si="37" ref="C121:H121">C122+C123+C124+C125</f>
        <v>0</v>
      </c>
      <c r="D121" s="50">
        <f t="shared" si="37"/>
        <v>0</v>
      </c>
      <c r="E121" s="50">
        <f t="shared" si="37"/>
        <v>0</v>
      </c>
      <c r="F121" s="33">
        <f t="shared" si="37"/>
        <v>0</v>
      </c>
      <c r="G121" s="33">
        <f t="shared" si="37"/>
        <v>0</v>
      </c>
      <c r="H121" s="33">
        <f t="shared" si="37"/>
        <v>0</v>
      </c>
      <c r="I121" s="43"/>
      <c r="J121" s="43"/>
    </row>
    <row r="122" spans="1:10" s="3" customFormat="1" ht="15">
      <c r="A122" s="31"/>
      <c r="B122" s="63" t="s">
        <v>355</v>
      </c>
      <c r="C122" s="33"/>
      <c r="D122" s="52"/>
      <c r="E122" s="52"/>
      <c r="F122" s="34"/>
      <c r="G122" s="60"/>
      <c r="H122" s="60"/>
      <c r="I122" s="43"/>
      <c r="J122" s="43"/>
    </row>
    <row r="123" spans="1:10" s="3" customFormat="1" ht="30">
      <c r="A123" s="31"/>
      <c r="B123" s="63" t="s">
        <v>356</v>
      </c>
      <c r="C123" s="33"/>
      <c r="D123" s="52"/>
      <c r="E123" s="52"/>
      <c r="F123" s="34"/>
      <c r="G123" s="60"/>
      <c r="H123" s="60"/>
      <c r="I123" s="43"/>
      <c r="J123" s="43"/>
    </row>
    <row r="124" spans="1:10" s="3" customFormat="1" ht="30">
      <c r="A124" s="31"/>
      <c r="B124" s="63" t="s">
        <v>357</v>
      </c>
      <c r="C124" s="33"/>
      <c r="D124" s="52"/>
      <c r="E124" s="52"/>
      <c r="F124" s="34"/>
      <c r="G124" s="60"/>
      <c r="H124" s="60"/>
      <c r="I124" s="43"/>
      <c r="J124" s="43"/>
    </row>
    <row r="125" spans="1:10" s="3" customFormat="1" ht="30">
      <c r="A125" s="31"/>
      <c r="B125" s="63" t="s">
        <v>358</v>
      </c>
      <c r="C125" s="33"/>
      <c r="D125" s="52"/>
      <c r="E125" s="52"/>
      <c r="F125" s="34"/>
      <c r="G125" s="60"/>
      <c r="H125" s="60"/>
      <c r="I125" s="43"/>
      <c r="J125" s="43"/>
    </row>
    <row r="126" spans="1:10" s="3" customFormat="1" ht="15">
      <c r="A126" s="31"/>
      <c r="B126" s="36" t="s">
        <v>321</v>
      </c>
      <c r="C126" s="33"/>
      <c r="D126" s="34"/>
      <c r="E126" s="34"/>
      <c r="F126" s="34"/>
      <c r="G126" s="60"/>
      <c r="H126" s="60"/>
      <c r="I126" s="43"/>
      <c r="J126" s="43"/>
    </row>
    <row r="127" spans="1:10" s="3" customFormat="1" ht="15">
      <c r="A127" s="31" t="s">
        <v>359</v>
      </c>
      <c r="B127" s="36" t="s">
        <v>360</v>
      </c>
      <c r="C127" s="27"/>
      <c r="D127" s="34">
        <v>9299560</v>
      </c>
      <c r="E127" s="34">
        <v>9007810</v>
      </c>
      <c r="F127" s="34">
        <v>9007810</v>
      </c>
      <c r="G127" s="35">
        <f>2664063+700223+718481+673801+914776+842090+782106+867109+845156</f>
        <v>9007805</v>
      </c>
      <c r="H127" s="35">
        <v>845156</v>
      </c>
      <c r="I127" s="43"/>
      <c r="J127" s="43"/>
    </row>
    <row r="128" spans="1:256" ht="16.5" customHeight="1">
      <c r="A128" s="31"/>
      <c r="B128" s="36" t="s">
        <v>321</v>
      </c>
      <c r="C128" s="27"/>
      <c r="D128" s="34"/>
      <c r="E128" s="34"/>
      <c r="F128" s="35"/>
      <c r="G128" s="35"/>
      <c r="H128" s="35"/>
      <c r="I128" s="43"/>
      <c r="J128" s="43"/>
      <c r="K128" s="3"/>
      <c r="IM128" s="3"/>
      <c r="IN128" s="3"/>
      <c r="IO128" s="3"/>
      <c r="IP128" s="3"/>
      <c r="IQ128" s="3"/>
      <c r="IR128" s="3"/>
      <c r="IS128" s="3"/>
      <c r="IT128" s="3"/>
      <c r="IU128" s="3"/>
      <c r="IV128" s="3"/>
    </row>
    <row r="129" spans="1:256" ht="16.5" customHeight="1">
      <c r="A129" s="31" t="s">
        <v>361</v>
      </c>
      <c r="B129" s="36" t="s">
        <v>362</v>
      </c>
      <c r="C129" s="33"/>
      <c r="D129" s="34">
        <v>2598880</v>
      </c>
      <c r="E129" s="34">
        <v>2962690</v>
      </c>
      <c r="F129" s="34">
        <v>2962690</v>
      </c>
      <c r="G129" s="44">
        <f>961000+237420+224580+250000+250000+250000+250000+250000+289690</f>
        <v>2962690</v>
      </c>
      <c r="H129" s="44">
        <v>289690</v>
      </c>
      <c r="I129" s="43"/>
      <c r="J129" s="43"/>
      <c r="IM129" s="3"/>
      <c r="IN129" s="3"/>
      <c r="IO129" s="3"/>
      <c r="IP129" s="3"/>
      <c r="IQ129" s="3"/>
      <c r="IR129" s="3"/>
      <c r="IS129" s="3"/>
      <c r="IT129" s="3"/>
      <c r="IU129" s="3"/>
      <c r="IV129" s="3"/>
    </row>
    <row r="130" spans="1:11" s="3" customFormat="1" ht="16.5" customHeight="1">
      <c r="A130" s="31"/>
      <c r="B130" s="36" t="s">
        <v>321</v>
      </c>
      <c r="C130" s="33"/>
      <c r="D130" s="34"/>
      <c r="E130" s="34"/>
      <c r="F130" s="44"/>
      <c r="G130" s="44"/>
      <c r="H130" s="44"/>
      <c r="I130" s="43"/>
      <c r="J130" s="43"/>
      <c r="K130" s="8"/>
    </row>
    <row r="131" spans="1:256" s="3" customFormat="1" ht="16.5" customHeight="1">
      <c r="A131" s="25" t="s">
        <v>363</v>
      </c>
      <c r="B131" s="28" t="s">
        <v>364</v>
      </c>
      <c r="C131" s="29">
        <f aca="true" t="shared" si="38" ref="C131:H131">+C132+C138+C140+C144+C150</f>
        <v>0</v>
      </c>
      <c r="D131" s="29">
        <f t="shared" si="38"/>
        <v>43867050</v>
      </c>
      <c r="E131" s="29">
        <f t="shared" si="38"/>
        <v>42503310</v>
      </c>
      <c r="F131" s="29">
        <f t="shared" si="38"/>
        <v>42503310</v>
      </c>
      <c r="G131" s="29">
        <f t="shared" si="38"/>
        <v>42483517.12</v>
      </c>
      <c r="H131" s="29">
        <f t="shared" si="38"/>
        <v>3769195.42</v>
      </c>
      <c r="I131" s="43"/>
      <c r="J131" s="43"/>
      <c r="IM131" s="8"/>
      <c r="IN131" s="8"/>
      <c r="IO131" s="8"/>
      <c r="IP131" s="8"/>
      <c r="IQ131" s="8"/>
      <c r="IR131" s="8"/>
      <c r="IS131" s="8"/>
      <c r="IT131" s="8"/>
      <c r="IU131" s="8"/>
      <c r="IV131" s="8"/>
    </row>
    <row r="132" spans="1:256" s="3" customFormat="1" ht="16.5" customHeight="1">
      <c r="A132" s="25" t="s">
        <v>365</v>
      </c>
      <c r="B132" s="28" t="s">
        <v>366</v>
      </c>
      <c r="C132" s="27">
        <f aca="true" t="shared" si="39" ref="C132:H132">+C133+C136</f>
        <v>0</v>
      </c>
      <c r="D132" s="27">
        <f t="shared" si="39"/>
        <v>27790210</v>
      </c>
      <c r="E132" s="27">
        <f t="shared" si="39"/>
        <v>26997800</v>
      </c>
      <c r="F132" s="27">
        <f t="shared" si="39"/>
        <v>26997800</v>
      </c>
      <c r="G132" s="27">
        <f t="shared" si="39"/>
        <v>26982315.52</v>
      </c>
      <c r="H132" s="27">
        <f t="shared" si="39"/>
        <v>2430435.42</v>
      </c>
      <c r="I132" s="43"/>
      <c r="J132" s="43"/>
      <c r="IM132" s="8"/>
      <c r="IN132" s="8"/>
      <c r="IO132" s="8"/>
      <c r="IP132" s="8"/>
      <c r="IQ132" s="8"/>
      <c r="IR132" s="8"/>
      <c r="IS132" s="8"/>
      <c r="IT132" s="8"/>
      <c r="IU132" s="8"/>
      <c r="IV132" s="8"/>
    </row>
    <row r="133" spans="1:10" s="3" customFormat="1" ht="16.5" customHeight="1">
      <c r="A133" s="31"/>
      <c r="B133" s="64" t="s">
        <v>367</v>
      </c>
      <c r="C133" s="33">
        <f>C134+C135</f>
        <v>0</v>
      </c>
      <c r="D133" s="33">
        <v>25586210</v>
      </c>
      <c r="E133" s="33">
        <v>24797800</v>
      </c>
      <c r="F133" s="33">
        <f>F134+F135</f>
        <v>24797800</v>
      </c>
      <c r="G133" s="33">
        <f>G134+G135</f>
        <v>24797630</v>
      </c>
      <c r="H133" s="33">
        <f>H134+H135</f>
        <v>2251755.42</v>
      </c>
      <c r="I133" s="43"/>
      <c r="J133" s="43"/>
    </row>
    <row r="134" spans="1:10" s="3" customFormat="1" ht="16.5" customHeight="1">
      <c r="A134" s="31"/>
      <c r="B134" s="65" t="s">
        <v>368</v>
      </c>
      <c r="C134" s="33"/>
      <c r="D134" s="34"/>
      <c r="E134" s="34"/>
      <c r="F134" s="35">
        <v>24797800</v>
      </c>
      <c r="G134" s="66">
        <f>1714519.23+924809.75+847234.15+941959.81+850256.28+842360.83+1961751.48+1117793.54+1124743.67+1166757.25+1131759.53</f>
        <v>12623945.52</v>
      </c>
      <c r="H134" s="66">
        <v>1131759.53</v>
      </c>
      <c r="I134" s="43"/>
      <c r="J134" s="43"/>
    </row>
    <row r="135" spans="1:10" s="3" customFormat="1" ht="16.5" customHeight="1">
      <c r="A135" s="31"/>
      <c r="B135" s="65" t="s">
        <v>369</v>
      </c>
      <c r="C135" s="33"/>
      <c r="D135" s="34"/>
      <c r="E135" s="34"/>
      <c r="F135" s="35"/>
      <c r="G135" s="35">
        <f>1613051.16+906653.44+729398.92+836683.06+934023.66+691941.45+1939131.99+1004834.28+1045199.94+1352770.69+1119995.89</f>
        <v>12173684.479999999</v>
      </c>
      <c r="H135" s="35">
        <v>1119995.89</v>
      </c>
      <c r="I135" s="43"/>
      <c r="J135" s="43"/>
    </row>
    <row r="136" spans="1:10" s="3" customFormat="1" ht="16.5" customHeight="1">
      <c r="A136" s="31"/>
      <c r="B136" s="64" t="s">
        <v>370</v>
      </c>
      <c r="C136" s="33"/>
      <c r="D136" s="34">
        <v>2204000</v>
      </c>
      <c r="E136" s="34">
        <v>2200000</v>
      </c>
      <c r="F136" s="34">
        <v>2200000</v>
      </c>
      <c r="G136" s="32">
        <f>489000+368800+236091.52+184584+181098+186582+178776+181074+178680</f>
        <v>2184685.52</v>
      </c>
      <c r="H136" s="32">
        <v>178680</v>
      </c>
      <c r="I136" s="43"/>
      <c r="J136" s="43"/>
    </row>
    <row r="137" spans="1:10" s="3" customFormat="1" ht="16.5" customHeight="1">
      <c r="A137" s="31"/>
      <c r="B137" s="36" t="s">
        <v>321</v>
      </c>
      <c r="C137" s="33"/>
      <c r="D137" s="34"/>
      <c r="E137" s="34"/>
      <c r="F137" s="32"/>
      <c r="G137" s="32">
        <f>-340.92-78.85-14.51-47.84</f>
        <v>-482.12</v>
      </c>
      <c r="H137" s="32"/>
      <c r="I137" s="43"/>
      <c r="J137" s="43"/>
    </row>
    <row r="138" spans="1:10" s="3" customFormat="1" ht="16.5" customHeight="1">
      <c r="A138" s="31" t="s">
        <v>371</v>
      </c>
      <c r="B138" s="67" t="s">
        <v>372</v>
      </c>
      <c r="C138" s="33"/>
      <c r="D138" s="34">
        <v>8618120</v>
      </c>
      <c r="E138" s="34">
        <v>8085890</v>
      </c>
      <c r="F138" s="34">
        <v>8085890</v>
      </c>
      <c r="G138" s="33">
        <f>542081.93+693489.22+711463.59+739931.43+674023.08+744231.29+600138.03+661225.97+580766.64+651220.35+774538.59+712779.88</f>
        <v>8085889.999999999</v>
      </c>
      <c r="H138" s="33">
        <v>712779.88</v>
      </c>
      <c r="I138" s="43"/>
      <c r="J138" s="43"/>
    </row>
    <row r="139" spans="1:10" s="3" customFormat="1" ht="16.5" customHeight="1">
      <c r="A139" s="31"/>
      <c r="B139" s="36" t="s">
        <v>321</v>
      </c>
      <c r="C139" s="33"/>
      <c r="D139" s="34"/>
      <c r="E139" s="34"/>
      <c r="F139" s="32"/>
      <c r="G139" s="32">
        <f>-680.12-12117.84</f>
        <v>-12797.960000000001</v>
      </c>
      <c r="H139" s="32"/>
      <c r="I139" s="43"/>
      <c r="J139" s="43"/>
    </row>
    <row r="140" spans="1:256" ht="16.5" customHeight="1">
      <c r="A140" s="25" t="s">
        <v>373</v>
      </c>
      <c r="B140" s="68" t="s">
        <v>374</v>
      </c>
      <c r="C140" s="33">
        <f aca="true" t="shared" si="40" ref="C140:H140">+C141+C142</f>
        <v>0</v>
      </c>
      <c r="D140" s="33">
        <f t="shared" si="40"/>
        <v>1664000</v>
      </c>
      <c r="E140" s="33">
        <f t="shared" si="40"/>
        <v>1650000</v>
      </c>
      <c r="F140" s="33">
        <f t="shared" si="40"/>
        <v>1650000</v>
      </c>
      <c r="G140" s="33">
        <f t="shared" si="40"/>
        <v>1647318.6</v>
      </c>
      <c r="H140" s="33">
        <f t="shared" si="40"/>
        <v>149908.6</v>
      </c>
      <c r="I140" s="43"/>
      <c r="J140" s="43"/>
      <c r="K140" s="3"/>
      <c r="IM140" s="3"/>
      <c r="IN140" s="3"/>
      <c r="IO140" s="3"/>
      <c r="IP140" s="3"/>
      <c r="IQ140" s="3"/>
      <c r="IR140" s="3"/>
      <c r="IS140" s="3"/>
      <c r="IT140" s="3"/>
      <c r="IU140" s="3"/>
      <c r="IV140" s="3"/>
    </row>
    <row r="141" spans="1:256" ht="16.5" customHeight="1">
      <c r="A141" s="31"/>
      <c r="B141" s="64" t="s">
        <v>375</v>
      </c>
      <c r="C141" s="33"/>
      <c r="D141" s="34">
        <v>1664000</v>
      </c>
      <c r="E141" s="34">
        <v>1650000</v>
      </c>
      <c r="F141" s="34">
        <v>1650000</v>
      </c>
      <c r="G141" s="35">
        <f>129798.4+118771+146426.4+134306+133543.2+133478.8+130276.8+127477.2+148402.2+154291.4+140638.6+149908.6</f>
        <v>1647318.6</v>
      </c>
      <c r="H141" s="35">
        <v>149908.6</v>
      </c>
      <c r="I141" s="43"/>
      <c r="J141" s="43"/>
      <c r="L141" s="35"/>
      <c r="M141" s="35"/>
      <c r="N141" s="35"/>
      <c r="O141" s="35"/>
      <c r="P141" s="35"/>
      <c r="Q141" s="35"/>
      <c r="R141" s="35"/>
      <c r="S141" s="35"/>
      <c r="T141" s="35"/>
      <c r="U141" s="35"/>
      <c r="V141" s="35"/>
      <c r="W141" s="35"/>
      <c r="X141" s="35"/>
      <c r="Y141" s="35"/>
      <c r="Z141" s="35"/>
      <c r="AA141" s="35"/>
      <c r="AB141" s="35"/>
      <c r="AC141" s="35"/>
      <c r="AD141" s="35"/>
      <c r="IM141" s="3"/>
      <c r="IN141" s="3"/>
      <c r="IO141" s="3"/>
      <c r="IP141" s="3"/>
      <c r="IQ141" s="3"/>
      <c r="IR141" s="3"/>
      <c r="IS141" s="3"/>
      <c r="IT141" s="3"/>
      <c r="IU141" s="3"/>
      <c r="IV141" s="3"/>
    </row>
    <row r="142" spans="1:256" ht="16.5" customHeight="1">
      <c r="A142" s="31"/>
      <c r="B142" s="64" t="s">
        <v>376</v>
      </c>
      <c r="C142" s="33"/>
      <c r="D142" s="34"/>
      <c r="E142" s="34"/>
      <c r="F142" s="34"/>
      <c r="G142" s="35"/>
      <c r="H142" s="35"/>
      <c r="I142" s="43"/>
      <c r="J142" s="43"/>
      <c r="K142" s="35"/>
      <c r="L142" s="14"/>
      <c r="M142" s="14"/>
      <c r="N142" s="14"/>
      <c r="O142" s="14"/>
      <c r="P142" s="14"/>
      <c r="Q142" s="14"/>
      <c r="R142" s="14"/>
      <c r="S142" s="14"/>
      <c r="T142" s="14"/>
      <c r="U142" s="14"/>
      <c r="V142" s="14"/>
      <c r="W142" s="14"/>
      <c r="X142" s="14"/>
      <c r="Y142" s="14"/>
      <c r="Z142" s="14"/>
      <c r="AA142" s="14"/>
      <c r="AB142" s="14"/>
      <c r="AC142" s="14"/>
      <c r="AD142" s="14"/>
      <c r="IM142" s="3"/>
      <c r="IN142" s="3"/>
      <c r="IO142" s="3"/>
      <c r="IP142" s="3"/>
      <c r="IQ142" s="3"/>
      <c r="IR142" s="3"/>
      <c r="IS142" s="3"/>
      <c r="IT142" s="3"/>
      <c r="IU142" s="3"/>
      <c r="IV142" s="3"/>
    </row>
    <row r="143" spans="1:11" ht="16.5" customHeight="1">
      <c r="A143" s="31"/>
      <c r="B143" s="36" t="s">
        <v>321</v>
      </c>
      <c r="C143" s="33"/>
      <c r="D143" s="34"/>
      <c r="E143" s="34"/>
      <c r="F143" s="34"/>
      <c r="G143" s="35"/>
      <c r="H143" s="35"/>
      <c r="I143" s="43"/>
      <c r="J143" s="43"/>
      <c r="K143" s="14"/>
    </row>
    <row r="144" spans="1:10" ht="16.5" customHeight="1">
      <c r="A144" s="25" t="s">
        <v>377</v>
      </c>
      <c r="B144" s="68" t="s">
        <v>378</v>
      </c>
      <c r="C144" s="27">
        <f aca="true" t="shared" si="41" ref="C144:H144">+C145+C146+C147+C148</f>
        <v>0</v>
      </c>
      <c r="D144" s="27">
        <f t="shared" si="41"/>
        <v>5324920</v>
      </c>
      <c r="E144" s="27">
        <f t="shared" si="41"/>
        <v>5301780</v>
      </c>
      <c r="F144" s="27">
        <f t="shared" si="41"/>
        <v>5301780</v>
      </c>
      <c r="G144" s="27">
        <f t="shared" si="41"/>
        <v>5300210</v>
      </c>
      <c r="H144" s="27">
        <f t="shared" si="41"/>
        <v>435862.52</v>
      </c>
      <c r="I144" s="43"/>
      <c r="J144" s="43"/>
    </row>
    <row r="145" spans="1:256" s="3" customFormat="1" ht="15">
      <c r="A145" s="31"/>
      <c r="B145" s="32" t="s">
        <v>327</v>
      </c>
      <c r="C145" s="33"/>
      <c r="D145" s="34">
        <v>5318420</v>
      </c>
      <c r="E145" s="34">
        <v>5295480</v>
      </c>
      <c r="F145" s="34">
        <v>5295480</v>
      </c>
      <c r="G145" s="35">
        <f>425411.84+441597.61+440466.82+437018.05+449065.68+439050+433227.87+440551.71+446155.02+436883.76+469939.12+435362.52</f>
        <v>5294730</v>
      </c>
      <c r="H145" s="35">
        <v>435362.52</v>
      </c>
      <c r="I145" s="43"/>
      <c r="J145" s="43"/>
      <c r="K145" s="8"/>
      <c r="IM145" s="8"/>
      <c r="IN145" s="8"/>
      <c r="IO145" s="8"/>
      <c r="IP145" s="8"/>
      <c r="IQ145" s="8"/>
      <c r="IR145" s="8"/>
      <c r="IS145" s="8"/>
      <c r="IT145" s="8"/>
      <c r="IU145" s="8"/>
      <c r="IV145" s="8"/>
    </row>
    <row r="146" spans="1:11" ht="30">
      <c r="A146" s="31"/>
      <c r="B146" s="32" t="s">
        <v>379</v>
      </c>
      <c r="C146" s="33"/>
      <c r="D146" s="34"/>
      <c r="E146" s="34"/>
      <c r="F146" s="35"/>
      <c r="G146" s="35"/>
      <c r="H146" s="35"/>
      <c r="I146" s="43"/>
      <c r="J146" s="43"/>
      <c r="K146" s="3"/>
    </row>
    <row r="147" spans="1:10" ht="30">
      <c r="A147" s="31"/>
      <c r="B147" s="32" t="s">
        <v>380</v>
      </c>
      <c r="C147" s="33"/>
      <c r="D147" s="34">
        <v>6500</v>
      </c>
      <c r="E147" s="34">
        <v>6300</v>
      </c>
      <c r="F147" s="34">
        <v>6300</v>
      </c>
      <c r="G147" s="35">
        <f>380+300+620+260+680+60+480+520+680+500+500+500</f>
        <v>5480</v>
      </c>
      <c r="H147" s="35">
        <v>500</v>
      </c>
      <c r="I147" s="43"/>
      <c r="J147" s="43"/>
    </row>
    <row r="148" spans="1:256" ht="30">
      <c r="A148" s="31"/>
      <c r="B148" s="32" t="s">
        <v>381</v>
      </c>
      <c r="C148" s="33"/>
      <c r="D148" s="34"/>
      <c r="E148" s="34"/>
      <c r="F148" s="35"/>
      <c r="G148" s="35"/>
      <c r="H148" s="35"/>
      <c r="I148" s="43"/>
      <c r="J148" s="43"/>
      <c r="IM148" s="3"/>
      <c r="IN148" s="3"/>
      <c r="IO148" s="3"/>
      <c r="IP148" s="3"/>
      <c r="IQ148" s="3"/>
      <c r="IR148" s="3"/>
      <c r="IS148" s="3"/>
      <c r="IT148" s="3"/>
      <c r="IU148" s="3"/>
      <c r="IV148" s="3"/>
    </row>
    <row r="149" spans="1:10" ht="15">
      <c r="A149" s="31"/>
      <c r="B149" s="36" t="s">
        <v>321</v>
      </c>
      <c r="C149" s="33"/>
      <c r="D149" s="34"/>
      <c r="E149" s="34"/>
      <c r="F149" s="35"/>
      <c r="G149" s="35">
        <f>-1236.87</f>
        <v>-1236.87</v>
      </c>
      <c r="H149" s="35"/>
      <c r="I149" s="43"/>
      <c r="J149" s="43"/>
    </row>
    <row r="150" spans="1:10" ht="16.5" customHeight="1">
      <c r="A150" s="25" t="s">
        <v>382</v>
      </c>
      <c r="B150" s="68" t="s">
        <v>383</v>
      </c>
      <c r="C150" s="33">
        <f aca="true" t="shared" si="42" ref="C150:H150">+C151+C152</f>
        <v>0</v>
      </c>
      <c r="D150" s="33">
        <f t="shared" si="42"/>
        <v>469800</v>
      </c>
      <c r="E150" s="33">
        <f t="shared" si="42"/>
        <v>467840</v>
      </c>
      <c r="F150" s="33">
        <f t="shared" si="42"/>
        <v>467840</v>
      </c>
      <c r="G150" s="33">
        <f t="shared" si="42"/>
        <v>467783</v>
      </c>
      <c r="H150" s="33">
        <f t="shared" si="42"/>
        <v>40209</v>
      </c>
      <c r="I150" s="43"/>
      <c r="J150" s="43"/>
    </row>
    <row r="151" spans="1:10" ht="16.5" customHeight="1">
      <c r="A151" s="25"/>
      <c r="B151" s="64" t="s">
        <v>375</v>
      </c>
      <c r="C151" s="33"/>
      <c r="D151" s="34">
        <v>469800</v>
      </c>
      <c r="E151" s="34">
        <v>467840</v>
      </c>
      <c r="F151" s="34">
        <v>467840</v>
      </c>
      <c r="G151" s="35">
        <f>38683+37611+40276+39004+38406+38714+38816+38477+38684+38702+40201+40209</f>
        <v>467783</v>
      </c>
      <c r="H151" s="35">
        <v>40209</v>
      </c>
      <c r="I151" s="43"/>
      <c r="J151" s="43"/>
    </row>
    <row r="152" spans="1:10" ht="16.5" customHeight="1">
      <c r="A152" s="31"/>
      <c r="B152" s="64" t="s">
        <v>376</v>
      </c>
      <c r="C152" s="33"/>
      <c r="D152" s="34"/>
      <c r="E152" s="34"/>
      <c r="F152" s="34"/>
      <c r="G152" s="35"/>
      <c r="H152" s="35"/>
      <c r="I152" s="43"/>
      <c r="J152" s="43"/>
    </row>
    <row r="153" spans="1:10" ht="16.5" customHeight="1">
      <c r="A153" s="31"/>
      <c r="B153" s="36" t="s">
        <v>321</v>
      </c>
      <c r="C153" s="33"/>
      <c r="D153" s="34"/>
      <c r="E153" s="34"/>
      <c r="F153" s="34"/>
      <c r="G153" s="35"/>
      <c r="H153" s="35"/>
      <c r="I153" s="43"/>
      <c r="J153" s="43"/>
    </row>
    <row r="154" spans="1:10" ht="16.5" customHeight="1">
      <c r="A154" s="25" t="s">
        <v>384</v>
      </c>
      <c r="B154" s="36" t="s">
        <v>385</v>
      </c>
      <c r="C154" s="33"/>
      <c r="D154" s="34"/>
      <c r="E154" s="34"/>
      <c r="F154" s="34"/>
      <c r="G154" s="55"/>
      <c r="H154" s="55"/>
      <c r="I154" s="43"/>
      <c r="J154" s="43"/>
    </row>
    <row r="155" spans="1:10" ht="16.5" customHeight="1">
      <c r="A155" s="25"/>
      <c r="B155" s="36" t="s">
        <v>321</v>
      </c>
      <c r="C155" s="33"/>
      <c r="D155" s="34"/>
      <c r="E155" s="34"/>
      <c r="F155" s="34"/>
      <c r="G155" s="55"/>
      <c r="H155" s="55"/>
      <c r="I155" s="43"/>
      <c r="J155" s="43"/>
    </row>
    <row r="156" spans="1:10" ht="16.5" customHeight="1">
      <c r="A156" s="25" t="s">
        <v>386</v>
      </c>
      <c r="B156" s="28" t="s">
        <v>387</v>
      </c>
      <c r="C156" s="29">
        <f aca="true" t="shared" si="43" ref="C156:H156">+C157+C163</f>
        <v>0</v>
      </c>
      <c r="D156" s="29">
        <f t="shared" si="43"/>
        <v>81005000</v>
      </c>
      <c r="E156" s="29">
        <f t="shared" si="43"/>
        <v>80949200</v>
      </c>
      <c r="F156" s="29">
        <f t="shared" si="43"/>
        <v>80949200</v>
      </c>
      <c r="G156" s="29">
        <f t="shared" si="43"/>
        <v>80949200</v>
      </c>
      <c r="H156" s="29">
        <f t="shared" si="43"/>
        <v>6779290</v>
      </c>
      <c r="I156" s="43"/>
      <c r="J156" s="43"/>
    </row>
    <row r="157" spans="1:10" ht="16.5" customHeight="1">
      <c r="A157" s="31" t="s">
        <v>388</v>
      </c>
      <c r="B157" s="28" t="s">
        <v>389</v>
      </c>
      <c r="C157" s="33">
        <f aca="true" t="shared" si="44" ref="C157:H157">C158+C160+C159+C161</f>
        <v>0</v>
      </c>
      <c r="D157" s="33">
        <f t="shared" si="44"/>
        <v>81005000</v>
      </c>
      <c r="E157" s="33">
        <f t="shared" si="44"/>
        <v>80949200</v>
      </c>
      <c r="F157" s="33">
        <f t="shared" si="44"/>
        <v>80949200</v>
      </c>
      <c r="G157" s="33">
        <f t="shared" si="44"/>
        <v>80949200</v>
      </c>
      <c r="H157" s="33">
        <f t="shared" si="44"/>
        <v>6779290</v>
      </c>
      <c r="I157" s="43"/>
      <c r="J157" s="43"/>
    </row>
    <row r="158" spans="1:10" ht="15">
      <c r="A158" s="31"/>
      <c r="B158" s="32" t="s">
        <v>327</v>
      </c>
      <c r="C158" s="33"/>
      <c r="D158" s="34">
        <v>81005000</v>
      </c>
      <c r="E158" s="34">
        <v>80949200</v>
      </c>
      <c r="F158" s="34">
        <v>80949200</v>
      </c>
      <c r="G158" s="35">
        <f>6790000+6790000+6790000+6603411.67-3866.19+6504294.52+7266160+6620000+6700000+6683879.36+6688740.64+6737290+6779290</f>
        <v>80949200</v>
      </c>
      <c r="H158" s="35">
        <v>6779290</v>
      </c>
      <c r="I158" s="43"/>
      <c r="J158" s="43"/>
    </row>
    <row r="159" spans="1:10" ht="60">
      <c r="A159" s="31"/>
      <c r="B159" s="32" t="s">
        <v>390</v>
      </c>
      <c r="C159" s="33"/>
      <c r="D159" s="34"/>
      <c r="E159" s="34"/>
      <c r="F159" s="35"/>
      <c r="G159" s="35"/>
      <c r="H159" s="35"/>
      <c r="I159" s="43"/>
      <c r="J159" s="43"/>
    </row>
    <row r="160" spans="1:10" ht="30">
      <c r="A160" s="31"/>
      <c r="B160" s="32" t="s">
        <v>391</v>
      </c>
      <c r="C160" s="33"/>
      <c r="D160" s="34"/>
      <c r="E160" s="34"/>
      <c r="F160" s="55"/>
      <c r="G160" s="55"/>
      <c r="H160" s="55"/>
      <c r="I160" s="43"/>
      <c r="J160" s="43"/>
    </row>
    <row r="161" spans="1:10" ht="30">
      <c r="A161" s="31"/>
      <c r="B161" s="69" t="s">
        <v>392</v>
      </c>
      <c r="C161" s="33"/>
      <c r="D161" s="34"/>
      <c r="E161" s="34"/>
      <c r="F161" s="35"/>
      <c r="G161" s="35"/>
      <c r="H161" s="35"/>
      <c r="I161" s="43"/>
      <c r="J161" s="43"/>
    </row>
    <row r="162" spans="1:10" ht="15">
      <c r="A162" s="31"/>
      <c r="B162" s="36" t="s">
        <v>321</v>
      </c>
      <c r="C162" s="33"/>
      <c r="D162" s="34"/>
      <c r="E162" s="34"/>
      <c r="F162" s="35"/>
      <c r="G162" s="35">
        <f>-58660.28-29000.9-42255.88-6514.35-16632.97-12107.86-15178.2-15711-10204.2-29698.93</f>
        <v>-235964.57</v>
      </c>
      <c r="H162" s="35">
        <v>-29698.93</v>
      </c>
      <c r="I162" s="43"/>
      <c r="J162" s="43"/>
    </row>
    <row r="163" spans="1:10" ht="16.5" customHeight="1">
      <c r="A163" s="31" t="s">
        <v>393</v>
      </c>
      <c r="B163" s="28" t="s">
        <v>394</v>
      </c>
      <c r="C163" s="33">
        <f aca="true" t="shared" si="45" ref="C163:H163">C164+C165</f>
        <v>0</v>
      </c>
      <c r="D163" s="33">
        <f t="shared" si="45"/>
        <v>0</v>
      </c>
      <c r="E163" s="33">
        <f t="shared" si="45"/>
        <v>0</v>
      </c>
      <c r="F163" s="33">
        <f t="shared" si="45"/>
        <v>0</v>
      </c>
      <c r="G163" s="33">
        <f t="shared" si="45"/>
        <v>0</v>
      </c>
      <c r="H163" s="33">
        <f t="shared" si="45"/>
        <v>0</v>
      </c>
      <c r="I163" s="43"/>
      <c r="J163" s="43"/>
    </row>
    <row r="164" spans="1:10" ht="16.5" customHeight="1">
      <c r="A164" s="31"/>
      <c r="B164" s="32" t="s">
        <v>327</v>
      </c>
      <c r="C164" s="33"/>
      <c r="D164" s="34"/>
      <c r="E164" s="34"/>
      <c r="F164" s="34"/>
      <c r="G164" s="35"/>
      <c r="H164" s="35"/>
      <c r="I164" s="43"/>
      <c r="J164" s="43"/>
    </row>
    <row r="165" spans="1:10" ht="16.5" customHeight="1">
      <c r="A165" s="31"/>
      <c r="B165" s="70" t="s">
        <v>395</v>
      </c>
      <c r="C165" s="33"/>
      <c r="D165" s="34"/>
      <c r="E165" s="34"/>
      <c r="F165" s="34"/>
      <c r="G165" s="35"/>
      <c r="H165" s="35"/>
      <c r="I165" s="43"/>
      <c r="J165" s="43"/>
    </row>
    <row r="166" spans="1:10" ht="16.5" customHeight="1">
      <c r="A166" s="31"/>
      <c r="B166" s="36" t="s">
        <v>321</v>
      </c>
      <c r="C166" s="33"/>
      <c r="D166" s="34"/>
      <c r="E166" s="34"/>
      <c r="F166" s="34"/>
      <c r="G166" s="35"/>
      <c r="H166" s="35"/>
      <c r="I166" s="43"/>
      <c r="J166" s="43"/>
    </row>
    <row r="167" spans="1:10" ht="16.5" customHeight="1">
      <c r="A167" s="25" t="s">
        <v>396</v>
      </c>
      <c r="B167" s="36" t="s">
        <v>397</v>
      </c>
      <c r="C167" s="33"/>
      <c r="D167" s="34">
        <v>37000</v>
      </c>
      <c r="E167" s="34">
        <v>42170</v>
      </c>
      <c r="F167" s="34">
        <v>42170</v>
      </c>
      <c r="G167" s="35">
        <f>3000+3000+3000+3970+2520+2510+4760+4080+1960+4120+5270+3980</f>
        <v>42170</v>
      </c>
      <c r="H167" s="35">
        <v>3980</v>
      </c>
      <c r="I167" s="43"/>
      <c r="J167" s="43"/>
    </row>
    <row r="168" spans="1:10" ht="16.5" customHeight="1">
      <c r="A168" s="25"/>
      <c r="B168" s="36" t="s">
        <v>321</v>
      </c>
      <c r="C168" s="33"/>
      <c r="D168" s="34"/>
      <c r="E168" s="34"/>
      <c r="F168" s="35"/>
      <c r="G168" s="35"/>
      <c r="H168" s="35"/>
      <c r="I168" s="43"/>
      <c r="J168" s="43"/>
    </row>
    <row r="169" spans="1:10" ht="16.5" customHeight="1">
      <c r="A169" s="25" t="s">
        <v>398</v>
      </c>
      <c r="B169" s="36" t="s">
        <v>399</v>
      </c>
      <c r="C169" s="33"/>
      <c r="D169" s="34">
        <v>6432850</v>
      </c>
      <c r="E169" s="34">
        <v>6432850</v>
      </c>
      <c r="F169" s="34">
        <v>6432850</v>
      </c>
      <c r="G169" s="35">
        <f>25160.45+89600.75+1192779.07+83388.99+662479.51+518681.99+909147.5+73933.05+2877671.35</f>
        <v>6432842.66</v>
      </c>
      <c r="H169" s="35"/>
      <c r="I169" s="43"/>
      <c r="J169" s="43"/>
    </row>
    <row r="170" spans="1:10" ht="16.5" customHeight="1">
      <c r="A170" s="25"/>
      <c r="B170" s="71" t="s">
        <v>321</v>
      </c>
      <c r="C170" s="33"/>
      <c r="D170" s="34"/>
      <c r="E170" s="34"/>
      <c r="F170" s="35"/>
      <c r="G170" s="35">
        <f>-2809.15-3860.74-453.6-17745.88-20059.79</f>
        <v>-44929.16</v>
      </c>
      <c r="H170" s="35">
        <v>-20059.79</v>
      </c>
      <c r="I170" s="43"/>
      <c r="J170" s="43"/>
    </row>
    <row r="171" spans="1:10" ht="30">
      <c r="A171" s="25"/>
      <c r="B171" s="28" t="s">
        <v>400</v>
      </c>
      <c r="C171" s="33">
        <f aca="true" t="shared" si="46" ref="C171:H171">C88+C97+C110+C126+C128+C130+C137+C139+C143+C149+C153+C155+C162+C166+C168+C170</f>
        <v>0</v>
      </c>
      <c r="D171" s="33">
        <f t="shared" si="46"/>
        <v>0</v>
      </c>
      <c r="E171" s="33">
        <f t="shared" si="46"/>
        <v>0</v>
      </c>
      <c r="F171" s="33">
        <f t="shared" si="46"/>
        <v>0</v>
      </c>
      <c r="G171" s="33">
        <f t="shared" si="46"/>
        <v>-301842.79000000004</v>
      </c>
      <c r="H171" s="33">
        <f t="shared" si="46"/>
        <v>-50082.770000000004</v>
      </c>
      <c r="I171" s="43"/>
      <c r="J171" s="43"/>
    </row>
    <row r="172" spans="1:10" ht="30">
      <c r="A172" s="25"/>
      <c r="B172" s="28" t="s">
        <v>200</v>
      </c>
      <c r="C172" s="33">
        <f>C173</f>
        <v>0</v>
      </c>
      <c r="D172" s="33">
        <f aca="true" t="shared" si="47" ref="D172:H173">D173</f>
        <v>88830180</v>
      </c>
      <c r="E172" s="33">
        <f t="shared" si="47"/>
        <v>88830180</v>
      </c>
      <c r="F172" s="33">
        <f t="shared" si="47"/>
        <v>88830180</v>
      </c>
      <c r="G172" s="33">
        <f t="shared" si="47"/>
        <v>88830123</v>
      </c>
      <c r="H172" s="33">
        <f t="shared" si="47"/>
        <v>7748701.25</v>
      </c>
      <c r="I172" s="43"/>
      <c r="J172" s="43"/>
    </row>
    <row r="173" spans="1:10" ht="15">
      <c r="A173" s="25"/>
      <c r="B173" s="28" t="s">
        <v>401</v>
      </c>
      <c r="C173" s="33">
        <f>C174</f>
        <v>0</v>
      </c>
      <c r="D173" s="33">
        <f t="shared" si="47"/>
        <v>88830180</v>
      </c>
      <c r="E173" s="33">
        <f t="shared" si="47"/>
        <v>88830180</v>
      </c>
      <c r="F173" s="33">
        <f t="shared" si="47"/>
        <v>88830180</v>
      </c>
      <c r="G173" s="33">
        <f t="shared" si="47"/>
        <v>88830123</v>
      </c>
      <c r="H173" s="33">
        <f t="shared" si="47"/>
        <v>7748701.25</v>
      </c>
      <c r="I173" s="43"/>
      <c r="J173" s="43"/>
    </row>
    <row r="174" spans="1:10" ht="45">
      <c r="A174" s="25"/>
      <c r="B174" s="28" t="s">
        <v>402</v>
      </c>
      <c r="C174" s="33">
        <f aca="true" t="shared" si="48" ref="C174:H174">C175+C176</f>
        <v>0</v>
      </c>
      <c r="D174" s="33">
        <f t="shared" si="48"/>
        <v>88830180</v>
      </c>
      <c r="E174" s="33">
        <f t="shared" si="48"/>
        <v>88830180</v>
      </c>
      <c r="F174" s="33">
        <f t="shared" si="48"/>
        <v>88830180</v>
      </c>
      <c r="G174" s="33">
        <f t="shared" si="48"/>
        <v>88830123</v>
      </c>
      <c r="H174" s="33">
        <f t="shared" si="48"/>
        <v>7748701.25</v>
      </c>
      <c r="I174" s="43"/>
      <c r="J174" s="43"/>
    </row>
    <row r="175" spans="1:10" s="5" customFormat="1" ht="15">
      <c r="A175" s="72"/>
      <c r="B175" s="73" t="s">
        <v>403</v>
      </c>
      <c r="C175" s="74"/>
      <c r="D175" s="75">
        <v>86466580</v>
      </c>
      <c r="E175" s="75">
        <v>86466580</v>
      </c>
      <c r="F175" s="75">
        <v>86466580</v>
      </c>
      <c r="G175" s="74">
        <f>35427327.25+7256795.25+7391616.25+7194372.25+7271150.25+7245458.25+7266992.25+7412830.25</f>
        <v>86466542</v>
      </c>
      <c r="H175" s="74">
        <v>7412830.25</v>
      </c>
      <c r="I175" s="81"/>
      <c r="J175" s="81"/>
    </row>
    <row r="176" spans="1:10" s="5" customFormat="1" ht="15">
      <c r="A176" s="72"/>
      <c r="B176" s="73" t="s">
        <v>404</v>
      </c>
      <c r="C176" s="74"/>
      <c r="D176" s="75">
        <v>2363600</v>
      </c>
      <c r="E176" s="75">
        <v>2363600</v>
      </c>
      <c r="F176" s="75">
        <v>2363600</v>
      </c>
      <c r="G176" s="74">
        <f>339640+337485+339360+339106+335716+336403+335871</f>
        <v>2363581</v>
      </c>
      <c r="H176" s="74">
        <v>335871</v>
      </c>
      <c r="I176" s="81"/>
      <c r="J176" s="81"/>
    </row>
    <row r="177" spans="1:10" ht="15">
      <c r="A177" s="25">
        <v>68.05</v>
      </c>
      <c r="B177" s="76" t="s">
        <v>405</v>
      </c>
      <c r="C177" s="42">
        <f>+C178</f>
        <v>0</v>
      </c>
      <c r="D177" s="42">
        <f aca="true" t="shared" si="49" ref="D177:H179">+D178</f>
        <v>20359100</v>
      </c>
      <c r="E177" s="42">
        <f t="shared" si="49"/>
        <v>20359100</v>
      </c>
      <c r="F177" s="42">
        <f t="shared" si="49"/>
        <v>20359100</v>
      </c>
      <c r="G177" s="42">
        <f t="shared" si="49"/>
        <v>20326498</v>
      </c>
      <c r="H177" s="42">
        <f t="shared" si="49"/>
        <v>6711739</v>
      </c>
      <c r="I177" s="43"/>
      <c r="J177" s="43"/>
    </row>
    <row r="178" spans="1:10" ht="16.5" customHeight="1">
      <c r="A178" s="25" t="s">
        <v>406</v>
      </c>
      <c r="B178" s="76" t="s">
        <v>193</v>
      </c>
      <c r="C178" s="42">
        <f>+C179</f>
        <v>0</v>
      </c>
      <c r="D178" s="42">
        <f t="shared" si="49"/>
        <v>20359100</v>
      </c>
      <c r="E178" s="42">
        <f t="shared" si="49"/>
        <v>20359100</v>
      </c>
      <c r="F178" s="42">
        <f t="shared" si="49"/>
        <v>20359100</v>
      </c>
      <c r="G178" s="42">
        <f t="shared" si="49"/>
        <v>20326498</v>
      </c>
      <c r="H178" s="42">
        <f t="shared" si="49"/>
        <v>6711739</v>
      </c>
      <c r="I178" s="43"/>
      <c r="J178" s="43"/>
    </row>
    <row r="179" spans="1:10" ht="16.5" customHeight="1">
      <c r="A179" s="25" t="s">
        <v>407</v>
      </c>
      <c r="B179" s="28" t="s">
        <v>408</v>
      </c>
      <c r="C179" s="42">
        <f>+C180</f>
        <v>0</v>
      </c>
      <c r="D179" s="42">
        <f t="shared" si="49"/>
        <v>20359100</v>
      </c>
      <c r="E179" s="42">
        <f t="shared" si="49"/>
        <v>20359100</v>
      </c>
      <c r="F179" s="42">
        <f t="shared" si="49"/>
        <v>20359100</v>
      </c>
      <c r="G179" s="42">
        <f t="shared" si="49"/>
        <v>20326498</v>
      </c>
      <c r="H179" s="42">
        <f t="shared" si="49"/>
        <v>6711739</v>
      </c>
      <c r="I179" s="43"/>
      <c r="J179" s="43"/>
    </row>
    <row r="180" spans="1:10" ht="16.5" customHeight="1">
      <c r="A180" s="31" t="s">
        <v>409</v>
      </c>
      <c r="B180" s="76" t="s">
        <v>410</v>
      </c>
      <c r="C180" s="29">
        <f aca="true" t="shared" si="50" ref="C180:H180">C181</f>
        <v>0</v>
      </c>
      <c r="D180" s="29">
        <f t="shared" si="50"/>
        <v>20359100</v>
      </c>
      <c r="E180" s="29">
        <f t="shared" si="50"/>
        <v>20359100</v>
      </c>
      <c r="F180" s="29">
        <f t="shared" si="50"/>
        <v>20359100</v>
      </c>
      <c r="G180" s="29">
        <f t="shared" si="50"/>
        <v>20326498</v>
      </c>
      <c r="H180" s="29">
        <f t="shared" si="50"/>
        <v>6711739</v>
      </c>
      <c r="I180" s="43"/>
      <c r="J180" s="43"/>
    </row>
    <row r="181" spans="1:10" ht="16.5" customHeight="1">
      <c r="A181" s="31" t="s">
        <v>411</v>
      </c>
      <c r="B181" s="76" t="s">
        <v>412</v>
      </c>
      <c r="C181" s="29">
        <f aca="true" t="shared" si="51" ref="C181:H181">C183+C184+C185</f>
        <v>0</v>
      </c>
      <c r="D181" s="29">
        <f t="shared" si="51"/>
        <v>20359100</v>
      </c>
      <c r="E181" s="29">
        <f t="shared" si="51"/>
        <v>20359100</v>
      </c>
      <c r="F181" s="29">
        <f t="shared" si="51"/>
        <v>20359100</v>
      </c>
      <c r="G181" s="29">
        <f t="shared" si="51"/>
        <v>20326498</v>
      </c>
      <c r="H181" s="29">
        <f t="shared" si="51"/>
        <v>6711739</v>
      </c>
      <c r="I181" s="43"/>
      <c r="J181" s="43"/>
    </row>
    <row r="182" spans="1:10" ht="16.5" customHeight="1">
      <c r="A182" s="25" t="s">
        <v>413</v>
      </c>
      <c r="B182" s="76" t="s">
        <v>414</v>
      </c>
      <c r="C182" s="29">
        <f aca="true" t="shared" si="52" ref="C182:H182">C183</f>
        <v>0</v>
      </c>
      <c r="D182" s="29">
        <f t="shared" si="52"/>
        <v>10855720</v>
      </c>
      <c r="E182" s="29">
        <f t="shared" si="52"/>
        <v>10855720</v>
      </c>
      <c r="F182" s="29">
        <f t="shared" si="52"/>
        <v>10855720</v>
      </c>
      <c r="G182" s="29">
        <f t="shared" si="52"/>
        <v>10855394</v>
      </c>
      <c r="H182" s="29">
        <f t="shared" si="52"/>
        <v>3422474</v>
      </c>
      <c r="I182" s="43"/>
      <c r="J182" s="43"/>
    </row>
    <row r="183" spans="1:10" ht="16.5" customHeight="1">
      <c r="A183" s="31" t="s">
        <v>415</v>
      </c>
      <c r="B183" s="77" t="s">
        <v>416</v>
      </c>
      <c r="C183" s="33"/>
      <c r="D183" s="34">
        <f>10841120+14600</f>
        <v>10855720</v>
      </c>
      <c r="E183" s="34">
        <f>10841120+14600</f>
        <v>10855720</v>
      </c>
      <c r="F183" s="34">
        <f>10841120+14600</f>
        <v>10855720</v>
      </c>
      <c r="G183" s="35">
        <f>4600831+1049322+1000+1227019+549945+883+2463+1367+90-22+5220-5220+22+3399978+8222+14274</f>
        <v>10855394</v>
      </c>
      <c r="H183" s="35">
        <f>3399978+8222+14274</f>
        <v>3422474</v>
      </c>
      <c r="J183" s="43"/>
    </row>
    <row r="184" spans="1:10" ht="16.5" customHeight="1">
      <c r="A184" s="31" t="s">
        <v>417</v>
      </c>
      <c r="B184" s="77" t="s">
        <v>418</v>
      </c>
      <c r="C184" s="33"/>
      <c r="D184" s="34">
        <f>9494880+8500</f>
        <v>9503380</v>
      </c>
      <c r="E184" s="34">
        <f>9494880+8500</f>
        <v>9503380</v>
      </c>
      <c r="F184" s="34">
        <f>9494880+8500</f>
        <v>9503380</v>
      </c>
      <c r="G184" s="35">
        <f>3704493+1248039+1244+773040+5260+450058+4456+1000-598+3677-3677+598+3300605+6685+8500</f>
        <v>9503380</v>
      </c>
      <c r="H184" s="35">
        <f>3300605+6685+8500</f>
        <v>3315790</v>
      </c>
      <c r="J184" s="43"/>
    </row>
    <row r="185" spans="1:10" ht="16.5" customHeight="1">
      <c r="A185" s="31"/>
      <c r="B185" s="40" t="s">
        <v>419</v>
      </c>
      <c r="C185" s="33"/>
      <c r="D185" s="34"/>
      <c r="E185" s="34"/>
      <c r="F185" s="34"/>
      <c r="G185" s="35">
        <f>-265-2402-2929-155-26525</f>
        <v>-32276</v>
      </c>
      <c r="H185" s="35">
        <v>-26525</v>
      </c>
      <c r="I185" s="43"/>
      <c r="J185" s="43"/>
    </row>
    <row r="186" spans="1:9" ht="45">
      <c r="A186" s="31" t="s">
        <v>203</v>
      </c>
      <c r="B186" s="78" t="s">
        <v>204</v>
      </c>
      <c r="C186" s="79">
        <f aca="true" t="shared" si="53" ref="C186:H186">C187</f>
        <v>0</v>
      </c>
      <c r="D186" s="79">
        <f t="shared" si="53"/>
        <v>0</v>
      </c>
      <c r="E186" s="79">
        <f t="shared" si="53"/>
        <v>0</v>
      </c>
      <c r="F186" s="79">
        <f t="shared" si="53"/>
        <v>0</v>
      </c>
      <c r="G186" s="79">
        <f t="shared" si="53"/>
        <v>0</v>
      </c>
      <c r="H186" s="79">
        <f t="shared" si="53"/>
        <v>0</v>
      </c>
      <c r="I186" s="43"/>
    </row>
    <row r="187" spans="1:9" ht="15">
      <c r="A187" s="31" t="s">
        <v>420</v>
      </c>
      <c r="B187" s="78" t="s">
        <v>421</v>
      </c>
      <c r="C187" s="79">
        <f aca="true" t="shared" si="54" ref="C187:H187">C188+C189+C190</f>
        <v>0</v>
      </c>
      <c r="D187" s="79">
        <f t="shared" si="54"/>
        <v>0</v>
      </c>
      <c r="E187" s="79">
        <f t="shared" si="54"/>
        <v>0</v>
      </c>
      <c r="F187" s="79">
        <f t="shared" si="54"/>
        <v>0</v>
      </c>
      <c r="G187" s="79">
        <f t="shared" si="54"/>
        <v>0</v>
      </c>
      <c r="H187" s="79">
        <f t="shared" si="54"/>
        <v>0</v>
      </c>
      <c r="I187" s="43"/>
    </row>
    <row r="188" spans="1:8" ht="30">
      <c r="A188" s="31" t="s">
        <v>422</v>
      </c>
      <c r="B188" s="80" t="s">
        <v>423</v>
      </c>
      <c r="C188" s="35"/>
      <c r="D188" s="34"/>
      <c r="E188" s="34"/>
      <c r="F188" s="34"/>
      <c r="G188" s="35"/>
      <c r="H188" s="35"/>
    </row>
    <row r="189" spans="1:8" ht="30">
      <c r="A189" s="31" t="s">
        <v>424</v>
      </c>
      <c r="B189" s="80" t="s">
        <v>425</v>
      </c>
      <c r="C189" s="35"/>
      <c r="D189" s="34"/>
      <c r="E189" s="34"/>
      <c r="F189" s="34"/>
      <c r="G189" s="35"/>
      <c r="H189" s="35"/>
    </row>
    <row r="190" spans="1:8" ht="15">
      <c r="A190" s="31" t="s">
        <v>426</v>
      </c>
      <c r="B190" s="80" t="s">
        <v>427</v>
      </c>
      <c r="C190" s="35"/>
      <c r="D190" s="34"/>
      <c r="E190" s="34"/>
      <c r="F190" s="34"/>
      <c r="G190" s="35"/>
      <c r="H190" s="35"/>
    </row>
    <row r="191" spans="1:8" ht="30">
      <c r="A191" s="31" t="s">
        <v>428</v>
      </c>
      <c r="B191" s="78" t="s">
        <v>429</v>
      </c>
      <c r="C191" s="79">
        <f>C192</f>
        <v>0</v>
      </c>
      <c r="D191" s="79">
        <f aca="true" t="shared" si="55" ref="D191:H192">D192</f>
        <v>0</v>
      </c>
      <c r="E191" s="79">
        <f t="shared" si="55"/>
        <v>0</v>
      </c>
      <c r="F191" s="79">
        <f t="shared" si="55"/>
        <v>0</v>
      </c>
      <c r="G191" s="79">
        <f t="shared" si="55"/>
        <v>0</v>
      </c>
      <c r="H191" s="79">
        <f t="shared" si="55"/>
        <v>0</v>
      </c>
    </row>
    <row r="192" spans="1:8" ht="15">
      <c r="A192" s="31" t="s">
        <v>430</v>
      </c>
      <c r="B192" s="78" t="s">
        <v>193</v>
      </c>
      <c r="C192" s="79">
        <f>C193</f>
        <v>0</v>
      </c>
      <c r="D192" s="79">
        <f t="shared" si="55"/>
        <v>0</v>
      </c>
      <c r="E192" s="79">
        <f t="shared" si="55"/>
        <v>0</v>
      </c>
      <c r="F192" s="79">
        <f t="shared" si="55"/>
        <v>0</v>
      </c>
      <c r="G192" s="79">
        <f t="shared" si="55"/>
        <v>0</v>
      </c>
      <c r="H192" s="79">
        <f t="shared" si="55"/>
        <v>0</v>
      </c>
    </row>
    <row r="193" spans="1:8" ht="45">
      <c r="A193" s="31" t="s">
        <v>431</v>
      </c>
      <c r="B193" s="78" t="s">
        <v>204</v>
      </c>
      <c r="C193" s="79">
        <f aca="true" t="shared" si="56" ref="C193:H193">C196</f>
        <v>0</v>
      </c>
      <c r="D193" s="79">
        <f t="shared" si="56"/>
        <v>0</v>
      </c>
      <c r="E193" s="79">
        <f t="shared" si="56"/>
        <v>0</v>
      </c>
      <c r="F193" s="79">
        <f t="shared" si="56"/>
        <v>0</v>
      </c>
      <c r="G193" s="79">
        <f t="shared" si="56"/>
        <v>0</v>
      </c>
      <c r="H193" s="79">
        <f t="shared" si="56"/>
        <v>0</v>
      </c>
    </row>
    <row r="194" spans="1:8" ht="15">
      <c r="A194" s="31" t="s">
        <v>432</v>
      </c>
      <c r="B194" s="78" t="s">
        <v>215</v>
      </c>
      <c r="C194" s="79">
        <f>C195</f>
        <v>0</v>
      </c>
      <c r="D194" s="79">
        <f aca="true" t="shared" si="57" ref="D194:H195">D195</f>
        <v>0</v>
      </c>
      <c r="E194" s="79">
        <f t="shared" si="57"/>
        <v>0</v>
      </c>
      <c r="F194" s="79">
        <f t="shared" si="57"/>
        <v>0</v>
      </c>
      <c r="G194" s="79">
        <f t="shared" si="57"/>
        <v>0</v>
      </c>
      <c r="H194" s="79">
        <f t="shared" si="57"/>
        <v>0</v>
      </c>
    </row>
    <row r="195" spans="1:8" ht="15">
      <c r="A195" s="31" t="s">
        <v>430</v>
      </c>
      <c r="B195" s="78" t="s">
        <v>193</v>
      </c>
      <c r="C195" s="79">
        <f>C196</f>
        <v>0</v>
      </c>
      <c r="D195" s="79">
        <f t="shared" si="57"/>
        <v>0</v>
      </c>
      <c r="E195" s="79">
        <f t="shared" si="57"/>
        <v>0</v>
      </c>
      <c r="F195" s="79">
        <f t="shared" si="57"/>
        <v>0</v>
      </c>
      <c r="G195" s="79">
        <f t="shared" si="57"/>
        <v>0</v>
      </c>
      <c r="H195" s="79">
        <f t="shared" si="57"/>
        <v>0</v>
      </c>
    </row>
    <row r="196" spans="1:8" ht="45">
      <c r="A196" s="31" t="s">
        <v>430</v>
      </c>
      <c r="B196" s="80" t="s">
        <v>204</v>
      </c>
      <c r="C196" s="35"/>
      <c r="D196" s="34"/>
      <c r="E196" s="34"/>
      <c r="F196" s="34"/>
      <c r="G196" s="35"/>
      <c r="H196" s="35"/>
    </row>
    <row r="197" spans="1:8" ht="15">
      <c r="A197" s="31" t="s">
        <v>430</v>
      </c>
      <c r="B197" s="78" t="s">
        <v>421</v>
      </c>
      <c r="C197" s="79">
        <f>C198</f>
        <v>0</v>
      </c>
      <c r="D197" s="79">
        <f aca="true" t="shared" si="58" ref="D197:H199">D198</f>
        <v>0</v>
      </c>
      <c r="E197" s="79">
        <f t="shared" si="58"/>
        <v>0</v>
      </c>
      <c r="F197" s="79">
        <f t="shared" si="58"/>
        <v>0</v>
      </c>
      <c r="G197" s="79">
        <f t="shared" si="58"/>
        <v>0</v>
      </c>
      <c r="H197" s="79">
        <f t="shared" si="58"/>
        <v>0</v>
      </c>
    </row>
    <row r="198" spans="1:8" ht="15">
      <c r="A198" s="31" t="s">
        <v>433</v>
      </c>
      <c r="B198" s="78" t="s">
        <v>425</v>
      </c>
      <c r="C198" s="79">
        <f>C199</f>
        <v>0</v>
      </c>
      <c r="D198" s="79">
        <f t="shared" si="58"/>
        <v>0</v>
      </c>
      <c r="E198" s="79">
        <f t="shared" si="58"/>
        <v>0</v>
      </c>
      <c r="F198" s="79">
        <f t="shared" si="58"/>
        <v>0</v>
      </c>
      <c r="G198" s="79">
        <f t="shared" si="58"/>
        <v>0</v>
      </c>
      <c r="H198" s="79">
        <f t="shared" si="58"/>
        <v>0</v>
      </c>
    </row>
    <row r="199" spans="1:8" ht="15">
      <c r="A199" s="31" t="s">
        <v>430</v>
      </c>
      <c r="B199" s="78" t="s">
        <v>434</v>
      </c>
      <c r="C199" s="79">
        <f>C200</f>
        <v>0</v>
      </c>
      <c r="D199" s="79">
        <f t="shared" si="58"/>
        <v>0</v>
      </c>
      <c r="E199" s="79">
        <f t="shared" si="58"/>
        <v>0</v>
      </c>
      <c r="F199" s="79">
        <f t="shared" si="58"/>
        <v>0</v>
      </c>
      <c r="G199" s="79">
        <f t="shared" si="58"/>
        <v>0</v>
      </c>
      <c r="H199" s="79">
        <f t="shared" si="58"/>
        <v>0</v>
      </c>
    </row>
    <row r="200" spans="1:8" ht="15">
      <c r="A200" s="31" t="s">
        <v>430</v>
      </c>
      <c r="B200" s="80" t="s">
        <v>435</v>
      </c>
      <c r="C200" s="35"/>
      <c r="D200" s="34"/>
      <c r="E200" s="34"/>
      <c r="F200" s="34"/>
      <c r="G200" s="35"/>
      <c r="H200" s="35"/>
    </row>
    <row r="203" spans="2:6" ht="15">
      <c r="B203" s="8" t="s">
        <v>178</v>
      </c>
      <c r="E203" s="82" t="s">
        <v>179</v>
      </c>
      <c r="F203" s="8"/>
    </row>
    <row r="204" spans="2:6" ht="15">
      <c r="B204" s="8" t="s">
        <v>180</v>
      </c>
      <c r="E204" s="8" t="s">
        <v>181</v>
      </c>
      <c r="F204" s="8"/>
    </row>
  </sheetData>
  <sheetProtection selectLockedCells="1" selectUnlockedCells="1"/>
  <printOptions horizontalCentered="1"/>
  <pageMargins left="0.18" right="0.17" top="0.7900000000000001" bottom="0.84" header="1.23" footer="0.9199999999999999"/>
  <pageSetup horizontalDpi="300" verticalDpi="300" orientation="portrait" scale="75"/>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2020-01-07T12:30:17Z</cp:lastPrinted>
  <dcterms:created xsi:type="dcterms:W3CDTF">2020-01-13T09:04:41Z</dcterms:created>
  <dcterms:modified xsi:type="dcterms:W3CDTF">2020-01-20T14:35:15Z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KSOProductBuildV">
    <vt:lpwstr>1033-11.2.0.9144</vt:lpwstr>
  </property>
</Properties>
</file>